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20" windowWidth="19815" windowHeight="6900" firstSheet="12" activeTab="20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CS-FG" sheetId="7" r:id="rId9"/>
    <sheet name="Sales Schedule" sheetId="8" r:id="rId10"/>
    <sheet name="Farm Implement Business" sheetId="22" state="hidden" r:id="rId11"/>
    <sheet name="Production Level Support" sheetId="21" state="hidden" r:id="rId12"/>
    <sheet name="Manpower Schedule" sheetId="9" r:id="rId13"/>
    <sheet name="weigh Bridge" sheetId="39" r:id="rId14"/>
    <sheet name="Opex Schedule" sheetId="10" r:id="rId15"/>
    <sheet name="WC Req" sheetId="23" state="hidden" r:id="rId16"/>
    <sheet name="Ammortization" sheetId="37" r:id="rId17"/>
    <sheet name="WC Assessment" sheetId="11" r:id="rId18"/>
    <sheet name="P&amp;L" sheetId="12" r:id="rId19"/>
    <sheet name="Tax" sheetId="14" r:id="rId20"/>
    <sheet name="BS" sheetId="15" r:id="rId21"/>
    <sheet name="CF" sheetId="16" r:id="rId22"/>
    <sheet name="TL Schedule" sheetId="24" state="hidden" r:id="rId23"/>
    <sheet name="Interest" sheetId="13" state="hidden" r:id="rId24"/>
    <sheet name="ROCE and Payback" sheetId="34" r:id="rId25"/>
    <sheet name="NPV" sheetId="30" r:id="rId26"/>
    <sheet name="IRR" sheetId="29" r:id="rId27"/>
    <sheet name="Debt Equity" sheetId="33" state="hidden" r:id="rId28"/>
    <sheet name="Break Even" sheetId="32" state="hidden" r:id="rId29"/>
    <sheet name="DSCR" sheetId="31" state="hidden" r:id="rId30"/>
    <sheet name="BEP &amp; DSCR" sheetId="17" r:id="rId31"/>
    <sheet name="Sheet19" sheetId="19" state="hidden" r:id="rId32"/>
    <sheet name="Sheet6" sheetId="25" state="hidden" r:id="rId33"/>
    <sheet name="Benefit-FPO-Producer" sheetId="26" state="hidden" r:id="rId34"/>
    <sheet name="Sheet2" sheetId="27" state="hidden" r:id="rId35"/>
    <sheet name="Economic Analysis" sheetId="28" state="hidden" r:id="rId36"/>
    <sheet name="Sheet9" sheetId="35" state="hidden" r:id="rId37"/>
    <sheet name="sensitivity" sheetId="36" r:id="rId38"/>
    <sheet name="Member Data" sheetId="38" r:id="rId39"/>
  </sheets>
  <externalReferences>
    <externalReference r:id="rId40"/>
    <externalReference r:id="rId41"/>
  </externalReferences>
  <definedNames>
    <definedName name="_xlnm.Print_Area" localSheetId="0">'Capital Cost'!$A$1:$C$51</definedName>
    <definedName name="_xlnm.Print_Area" localSheetId="26">IRR!$A$1:$K$28</definedName>
    <definedName name="_xlnm.Print_Area" localSheetId="14">'Opex Schedule'!$A$1:$L$42</definedName>
    <definedName name="_xlnm.Print_Area" localSheetId="5">'Output Schedule'!$A$1:$K$47</definedName>
    <definedName name="_xlnm.Print_Area" localSheetId="24">'ROCE and Payback'!$A$1:$K$19</definedName>
  </definedNames>
  <calcPr calcId="144525"/>
</workbook>
</file>

<file path=xl/calcChain.xml><?xml version="1.0" encoding="utf-8"?>
<calcChain xmlns="http://schemas.openxmlformats.org/spreadsheetml/2006/main">
  <c r="K25" i="4" l="1"/>
  <c r="J25" i="4"/>
  <c r="I25" i="4"/>
  <c r="H25" i="4"/>
  <c r="G25" i="4"/>
  <c r="F25" i="4"/>
  <c r="E25" i="4"/>
  <c r="D25" i="4"/>
  <c r="C25" i="4"/>
  <c r="B25" i="4"/>
  <c r="B10" i="2" l="1"/>
  <c r="C46" i="20" l="1"/>
  <c r="C72" i="18" l="1"/>
  <c r="C71" i="18"/>
  <c r="C70" i="18"/>
  <c r="C69" i="18"/>
  <c r="C68" i="18"/>
  <c r="C65" i="18"/>
  <c r="C29" i="18"/>
  <c r="B29" i="18"/>
  <c r="C28" i="18"/>
  <c r="C27" i="18"/>
  <c r="C26" i="18"/>
  <c r="C25" i="18"/>
  <c r="C22" i="18"/>
  <c r="C21" i="18"/>
  <c r="C20" i="18"/>
  <c r="C19" i="18"/>
  <c r="C18" i="18"/>
  <c r="B22" i="18"/>
  <c r="B40" i="4"/>
  <c r="C40" i="4" s="1"/>
  <c r="D40" i="4" s="1"/>
  <c r="E40" i="4" s="1"/>
  <c r="F40" i="4" s="1"/>
  <c r="G40" i="4" s="1"/>
  <c r="H40" i="4" s="1"/>
  <c r="I40" i="4" s="1"/>
  <c r="J40" i="4" s="1"/>
  <c r="K40" i="4" s="1"/>
  <c r="B5" i="4"/>
  <c r="C5" i="4" s="1"/>
  <c r="D5" i="4" s="1"/>
  <c r="E5" i="4" s="1"/>
  <c r="F5" i="4" s="1"/>
  <c r="M38" i="4"/>
  <c r="M31" i="4"/>
  <c r="C42" i="8"/>
  <c r="C21" i="8"/>
  <c r="C122" i="7"/>
  <c r="D97" i="7"/>
  <c r="E97" i="7" s="1"/>
  <c r="F97" i="7" s="1"/>
  <c r="G97" i="7" s="1"/>
  <c r="H97" i="7" s="1"/>
  <c r="I97" i="7" s="1"/>
  <c r="J97" i="7" s="1"/>
  <c r="K97" i="7" s="1"/>
  <c r="L97" i="7" s="1"/>
  <c r="L42" i="8" s="1"/>
  <c r="B86" i="7"/>
  <c r="B115" i="7" s="1"/>
  <c r="C87" i="7"/>
  <c r="D39" i="7"/>
  <c r="E39" i="7" s="1"/>
  <c r="F39" i="7" s="1"/>
  <c r="G39" i="7" s="1"/>
  <c r="H39" i="7" s="1"/>
  <c r="I39" i="7" s="1"/>
  <c r="J39" i="7" s="1"/>
  <c r="K39" i="7" s="1"/>
  <c r="L39" i="7" s="1"/>
  <c r="L21" i="8" s="1"/>
  <c r="B28" i="7"/>
  <c r="B39" i="7" s="1"/>
  <c r="B65" i="18" s="1"/>
  <c r="C29" i="7"/>
  <c r="M37" i="4"/>
  <c r="N37" i="4" s="1"/>
  <c r="M36" i="4"/>
  <c r="N36" i="4" s="1"/>
  <c r="M35" i="4"/>
  <c r="N35" i="4" s="1"/>
  <c r="M34" i="4"/>
  <c r="N34" i="4" s="1"/>
  <c r="M30" i="4"/>
  <c r="M29" i="4"/>
  <c r="M28" i="4"/>
  <c r="M27" i="4"/>
  <c r="C38" i="8"/>
  <c r="C34" i="8"/>
  <c r="C30" i="8"/>
  <c r="C26" i="8"/>
  <c r="D96" i="7"/>
  <c r="D38" i="8" s="1"/>
  <c r="D95" i="7"/>
  <c r="D34" i="8" s="1"/>
  <c r="D94" i="7"/>
  <c r="D30" i="8" s="1"/>
  <c r="D93" i="7"/>
  <c r="E93" i="7" s="1"/>
  <c r="F93" i="7" s="1"/>
  <c r="G93" i="7" s="1"/>
  <c r="H93" i="7" s="1"/>
  <c r="I93" i="7" s="1"/>
  <c r="J93" i="7" s="1"/>
  <c r="K93" i="7" s="1"/>
  <c r="L93" i="7" s="1"/>
  <c r="L26" i="8" s="1"/>
  <c r="C81" i="7"/>
  <c r="C75" i="7"/>
  <c r="C69" i="7"/>
  <c r="C63" i="7"/>
  <c r="B7" i="6"/>
  <c r="C44" i="18" s="1"/>
  <c r="B27" i="5"/>
  <c r="B15" i="5"/>
  <c r="C25" i="5"/>
  <c r="D25" i="5" s="1"/>
  <c r="E25" i="5" s="1"/>
  <c r="F25" i="5" s="1"/>
  <c r="G25" i="5" s="1"/>
  <c r="H25" i="5" s="1"/>
  <c r="I25" i="5" s="1"/>
  <c r="J25" i="5" s="1"/>
  <c r="K25" i="5" s="1"/>
  <c r="K7" i="6" s="1"/>
  <c r="L44" i="18" s="1"/>
  <c r="J7" i="6" l="1"/>
  <c r="K44" i="18" s="1"/>
  <c r="E7" i="6"/>
  <c r="F44" i="18" s="1"/>
  <c r="F7" i="6"/>
  <c r="G44" i="18" s="1"/>
  <c r="I7" i="6"/>
  <c r="J44" i="18" s="1"/>
  <c r="C7" i="6"/>
  <c r="D44" i="18" s="1"/>
  <c r="G7" i="6"/>
  <c r="H44" i="18" s="1"/>
  <c r="B6" i="4"/>
  <c r="C6" i="4" s="1"/>
  <c r="D6" i="4" s="1"/>
  <c r="E6" i="4" s="1"/>
  <c r="F6" i="4" s="1"/>
  <c r="G6" i="4" s="1"/>
  <c r="H6" i="4" s="1"/>
  <c r="I6" i="4" s="1"/>
  <c r="J6" i="4" s="1"/>
  <c r="K6" i="4" s="1"/>
  <c r="B30" i="5"/>
  <c r="D7" i="6"/>
  <c r="E44" i="18" s="1"/>
  <c r="H7" i="6"/>
  <c r="I44" i="18" s="1"/>
  <c r="D68" i="18"/>
  <c r="J65" i="18"/>
  <c r="G65" i="18"/>
  <c r="K65" i="18"/>
  <c r="E68" i="18"/>
  <c r="I68" i="18"/>
  <c r="E72" i="18"/>
  <c r="I72" i="18"/>
  <c r="D21" i="8"/>
  <c r="D65" i="18"/>
  <c r="H65" i="18"/>
  <c r="L65" i="18"/>
  <c r="F68" i="18"/>
  <c r="J68" i="18"/>
  <c r="D69" i="18"/>
  <c r="D71" i="18"/>
  <c r="F72" i="18"/>
  <c r="J72" i="18"/>
  <c r="E65" i="18"/>
  <c r="I65" i="18"/>
  <c r="G68" i="18"/>
  <c r="K68" i="18"/>
  <c r="G72" i="18"/>
  <c r="K72" i="18"/>
  <c r="F65" i="18"/>
  <c r="H68" i="18"/>
  <c r="L68" i="18"/>
  <c r="D70" i="18"/>
  <c r="D72" i="18"/>
  <c r="H72" i="18"/>
  <c r="L72" i="18"/>
  <c r="B97" i="7"/>
  <c r="B20" i="8"/>
  <c r="G5" i="4"/>
  <c r="E42" i="8"/>
  <c r="F42" i="8"/>
  <c r="I42" i="8"/>
  <c r="J42" i="8"/>
  <c r="G42" i="8"/>
  <c r="K42" i="8"/>
  <c r="D42" i="8"/>
  <c r="H42" i="8"/>
  <c r="F26" i="8"/>
  <c r="J26" i="8"/>
  <c r="G26" i="8"/>
  <c r="K26" i="8"/>
  <c r="D26" i="8"/>
  <c r="H26" i="8"/>
  <c r="E26" i="8"/>
  <c r="I26" i="8"/>
  <c r="H21" i="8"/>
  <c r="E21" i="8"/>
  <c r="F21" i="8"/>
  <c r="J21" i="8"/>
  <c r="I21" i="8"/>
  <c r="G21" i="8"/>
  <c r="K21" i="8"/>
  <c r="B57" i="7"/>
  <c r="E94" i="7"/>
  <c r="E96" i="7"/>
  <c r="E95" i="7"/>
  <c r="I10" i="20"/>
  <c r="D8" i="10"/>
  <c r="E8" i="10" s="1"/>
  <c r="F8" i="10" s="1"/>
  <c r="G8" i="10" s="1"/>
  <c r="H8" i="10" s="1"/>
  <c r="I8" i="10" s="1"/>
  <c r="J8" i="10" s="1"/>
  <c r="K8" i="10" s="1"/>
  <c r="L8" i="10" s="1"/>
  <c r="B7" i="4" l="1"/>
  <c r="E30" i="8"/>
  <c r="E69" i="18"/>
  <c r="E38" i="8"/>
  <c r="E71" i="18"/>
  <c r="E34" i="8"/>
  <c r="E70" i="18"/>
  <c r="B41" i="8"/>
  <c r="B72" i="18"/>
  <c r="H5" i="4"/>
  <c r="F95" i="7"/>
  <c r="F96" i="7"/>
  <c r="F94" i="7"/>
  <c r="E47" i="20"/>
  <c r="B17" i="4" l="1"/>
  <c r="C7" i="4"/>
  <c r="F30" i="8"/>
  <c r="F69" i="18"/>
  <c r="F38" i="8"/>
  <c r="F71" i="18"/>
  <c r="F34" i="8"/>
  <c r="F70" i="18"/>
  <c r="I5" i="4"/>
  <c r="G94" i="7"/>
  <c r="G96" i="7"/>
  <c r="G95" i="7"/>
  <c r="S27" i="38"/>
  <c r="O14" i="4"/>
  <c r="O15" i="4" s="1"/>
  <c r="D7" i="4" l="1"/>
  <c r="C34" i="10"/>
  <c r="B28" i="4"/>
  <c r="B29" i="4"/>
  <c r="B31" i="4"/>
  <c r="C30" i="7" s="1"/>
  <c r="B27" i="4"/>
  <c r="B30" i="4"/>
  <c r="G30" i="8"/>
  <c r="G69" i="18"/>
  <c r="G34" i="8"/>
  <c r="G70" i="18"/>
  <c r="G38" i="8"/>
  <c r="G71" i="18"/>
  <c r="J5" i="4"/>
  <c r="H96" i="7"/>
  <c r="H95" i="7"/>
  <c r="H94" i="7"/>
  <c r="C32" i="7" l="1"/>
  <c r="C31" i="7" s="1"/>
  <c r="C20" i="8" s="1"/>
  <c r="C22" i="8" s="1"/>
  <c r="E7" i="4"/>
  <c r="H34" i="8"/>
  <c r="H70" i="18"/>
  <c r="H38" i="8"/>
  <c r="H71" i="18"/>
  <c r="H30" i="8"/>
  <c r="H69" i="18"/>
  <c r="K5" i="4"/>
  <c r="I95" i="7"/>
  <c r="I96" i="7"/>
  <c r="I94" i="7"/>
  <c r="A5" i="36"/>
  <c r="A18" i="36" s="1"/>
  <c r="A4" i="36"/>
  <c r="A17" i="36" s="1"/>
  <c r="A3" i="36"/>
  <c r="A16" i="36" s="1"/>
  <c r="E7" i="2"/>
  <c r="E9" i="2"/>
  <c r="E10" i="2"/>
  <c r="E11" i="2"/>
  <c r="E12" i="2"/>
  <c r="E5" i="2"/>
  <c r="C11" i="10"/>
  <c r="D11" i="10" s="1"/>
  <c r="E11" i="10" s="1"/>
  <c r="F11" i="10" s="1"/>
  <c r="G11" i="10" s="1"/>
  <c r="H11" i="10" s="1"/>
  <c r="I11" i="10" s="1"/>
  <c r="J11" i="10" s="1"/>
  <c r="K11" i="10" s="1"/>
  <c r="L11" i="10" s="1"/>
  <c r="B11" i="38"/>
  <c r="N7" i="10"/>
  <c r="Q16" i="10" s="1"/>
  <c r="F7" i="4" l="1"/>
  <c r="D29" i="7"/>
  <c r="C59" i="7"/>
  <c r="D58" i="7" s="1"/>
  <c r="I38" i="8"/>
  <c r="I71" i="18"/>
  <c r="I34" i="8"/>
  <c r="I70" i="18"/>
  <c r="I30" i="8"/>
  <c r="I69" i="18"/>
  <c r="J94" i="7"/>
  <c r="J96" i="7"/>
  <c r="J95" i="7"/>
  <c r="D8" i="4"/>
  <c r="E8" i="4" s="1"/>
  <c r="F8" i="4" s="1"/>
  <c r="G8" i="4" s="1"/>
  <c r="H8" i="4" s="1"/>
  <c r="I8" i="4" s="1"/>
  <c r="J8" i="4" s="1"/>
  <c r="K8" i="4" s="1"/>
  <c r="D9" i="4"/>
  <c r="C9" i="4"/>
  <c r="C8" i="4"/>
  <c r="C18" i="4" l="1"/>
  <c r="C17" i="4"/>
  <c r="D17" i="4"/>
  <c r="E9" i="4"/>
  <c r="D18" i="4"/>
  <c r="G7" i="4"/>
  <c r="J34" i="8"/>
  <c r="J70" i="18"/>
  <c r="J38" i="8"/>
  <c r="J71" i="18"/>
  <c r="J30" i="8"/>
  <c r="J69" i="18"/>
  <c r="K96" i="7"/>
  <c r="K95" i="7"/>
  <c r="K94" i="7"/>
  <c r="A31" i="36"/>
  <c r="A44" i="36" s="1"/>
  <c r="E34" i="10" l="1"/>
  <c r="D29" i="4"/>
  <c r="D28" i="4"/>
  <c r="D30" i="4"/>
  <c r="D31" i="4"/>
  <c r="E30" i="7" s="1"/>
  <c r="E32" i="7" s="1"/>
  <c r="D43" i="4"/>
  <c r="D27" i="4"/>
  <c r="H7" i="4"/>
  <c r="D35" i="4"/>
  <c r="E70" i="7" s="1"/>
  <c r="D34" i="4"/>
  <c r="E64" i="7" s="1"/>
  <c r="D37" i="4"/>
  <c r="E82" i="7" s="1"/>
  <c r="E84" i="7" s="1"/>
  <c r="D38" i="4"/>
  <c r="E88" i="7" s="1"/>
  <c r="E90" i="7" s="1"/>
  <c r="D36" i="4"/>
  <c r="E76" i="7" s="1"/>
  <c r="D21" i="5"/>
  <c r="D22" i="5" s="1"/>
  <c r="D34" i="10"/>
  <c r="C27" i="4"/>
  <c r="C28" i="4"/>
  <c r="C43" i="4"/>
  <c r="C30" i="4"/>
  <c r="C31" i="4"/>
  <c r="D30" i="7" s="1"/>
  <c r="C29" i="4"/>
  <c r="F9" i="4"/>
  <c r="E17" i="4"/>
  <c r="E18" i="4"/>
  <c r="C36" i="4"/>
  <c r="D76" i="7" s="1"/>
  <c r="C21" i="5"/>
  <c r="C22" i="5" s="1"/>
  <c r="C34" i="4"/>
  <c r="D64" i="7" s="1"/>
  <c r="C38" i="4"/>
  <c r="D88" i="7" s="1"/>
  <c r="D90" i="7" s="1"/>
  <c r="C35" i="4"/>
  <c r="D70" i="7" s="1"/>
  <c r="C37" i="4"/>
  <c r="D82" i="7" s="1"/>
  <c r="D84" i="7" s="1"/>
  <c r="K34" i="8"/>
  <c r="K70" i="18"/>
  <c r="K38" i="8"/>
  <c r="K71" i="18"/>
  <c r="K30" i="8"/>
  <c r="K69" i="18"/>
  <c r="L94" i="7"/>
  <c r="L96" i="7"/>
  <c r="L71" i="18" s="1"/>
  <c r="L95" i="7"/>
  <c r="Q5" i="10"/>
  <c r="E81" i="7" l="1"/>
  <c r="D113" i="7"/>
  <c r="E112" i="7" s="1"/>
  <c r="E19" i="5"/>
  <c r="D28" i="5"/>
  <c r="E27" i="5" s="1"/>
  <c r="I7" i="4"/>
  <c r="D19" i="5"/>
  <c r="D20" i="5" s="1"/>
  <c r="D6" i="6" s="1"/>
  <c r="C28" i="5"/>
  <c r="D27" i="5" s="1"/>
  <c r="G9" i="4"/>
  <c r="F17" i="4"/>
  <c r="F18" i="4"/>
  <c r="E87" i="7"/>
  <c r="E89" i="7" s="1"/>
  <c r="E41" i="8" s="1"/>
  <c r="E43" i="8" s="1"/>
  <c r="D117" i="7"/>
  <c r="E116" i="7" s="1"/>
  <c r="E21" i="5"/>
  <c r="E22" i="5" s="1"/>
  <c r="E34" i="4"/>
  <c r="F64" i="7" s="1"/>
  <c r="E37" i="4"/>
  <c r="F82" i="7" s="1"/>
  <c r="F84" i="7" s="1"/>
  <c r="E38" i="4"/>
  <c r="F88" i="7" s="1"/>
  <c r="F90" i="7" s="1"/>
  <c r="E36" i="4"/>
  <c r="F76" i="7" s="1"/>
  <c r="E35" i="4"/>
  <c r="F70" i="7" s="1"/>
  <c r="D32" i="7"/>
  <c r="D31" i="7" s="1"/>
  <c r="D20" i="8" s="1"/>
  <c r="D22" i="8" s="1"/>
  <c r="E117" i="7"/>
  <c r="F116" i="7" s="1"/>
  <c r="F87" i="7"/>
  <c r="F89" i="7" s="1"/>
  <c r="F41" i="8" s="1"/>
  <c r="F43" i="8" s="1"/>
  <c r="F34" i="10"/>
  <c r="E31" i="4"/>
  <c r="F30" i="7" s="1"/>
  <c r="F32" i="7" s="1"/>
  <c r="E27" i="4"/>
  <c r="E30" i="4"/>
  <c r="E43" i="4"/>
  <c r="E28" i="4"/>
  <c r="E29" i="4"/>
  <c r="E83" i="7"/>
  <c r="E37" i="8" s="1"/>
  <c r="E39" i="8" s="1"/>
  <c r="F81" i="7"/>
  <c r="F83" i="7" s="1"/>
  <c r="F37" i="8" s="1"/>
  <c r="F39" i="8" s="1"/>
  <c r="E113" i="7"/>
  <c r="F112" i="7" s="1"/>
  <c r="E59" i="7"/>
  <c r="F58" i="7" s="1"/>
  <c r="F29" i="7"/>
  <c r="F31" i="7" s="1"/>
  <c r="F20" i="8" s="1"/>
  <c r="F22" i="8" s="1"/>
  <c r="L30" i="8"/>
  <c r="L69" i="18"/>
  <c r="L34" i="8"/>
  <c r="L70" i="18"/>
  <c r="L38" i="8"/>
  <c r="D11" i="39"/>
  <c r="E11" i="39" s="1"/>
  <c r="F11" i="39" s="1"/>
  <c r="G11" i="39" s="1"/>
  <c r="H11" i="39" s="1"/>
  <c r="I11" i="39" s="1"/>
  <c r="J11" i="39" s="1"/>
  <c r="K11" i="39" s="1"/>
  <c r="L11" i="39" s="1"/>
  <c r="E9" i="39"/>
  <c r="D9" i="39"/>
  <c r="D6" i="39"/>
  <c r="E6" i="39" s="1"/>
  <c r="F6" i="39" s="1"/>
  <c r="D4" i="39"/>
  <c r="E4" i="39" s="1"/>
  <c r="F4" i="39" s="1"/>
  <c r="G4" i="39" s="1"/>
  <c r="H4" i="39" s="1"/>
  <c r="I4" i="39" s="1"/>
  <c r="J4" i="39" s="1"/>
  <c r="K4" i="39" s="1"/>
  <c r="L4" i="39" s="1"/>
  <c r="F37" i="4" l="1"/>
  <c r="G82" i="7" s="1"/>
  <c r="G84" i="7" s="1"/>
  <c r="F36" i="4"/>
  <c r="G76" i="7" s="1"/>
  <c r="F21" i="5"/>
  <c r="F22" i="5" s="1"/>
  <c r="F38" i="4"/>
  <c r="G88" i="7" s="1"/>
  <c r="G90" i="7" s="1"/>
  <c r="F35" i="4"/>
  <c r="G70" i="7" s="1"/>
  <c r="F34" i="4"/>
  <c r="G64" i="7" s="1"/>
  <c r="E28" i="5"/>
  <c r="F27" i="5" s="1"/>
  <c r="F19" i="5"/>
  <c r="F20" i="5" s="1"/>
  <c r="F6" i="6" s="1"/>
  <c r="G34" i="10"/>
  <c r="F29" i="4"/>
  <c r="F28" i="4"/>
  <c r="F31" i="4"/>
  <c r="G30" i="7" s="1"/>
  <c r="G32" i="7" s="1"/>
  <c r="F27" i="4"/>
  <c r="F30" i="4"/>
  <c r="F43" i="4"/>
  <c r="E20" i="5"/>
  <c r="E6" i="6" s="1"/>
  <c r="F59" i="7"/>
  <c r="G58" i="7" s="1"/>
  <c r="G29" i="7"/>
  <c r="G87" i="7"/>
  <c r="F117" i="7"/>
  <c r="G116" i="7" s="1"/>
  <c r="H9" i="4"/>
  <c r="G17" i="4"/>
  <c r="G18" i="4"/>
  <c r="E29" i="7"/>
  <c r="E31" i="7" s="1"/>
  <c r="E20" i="8" s="1"/>
  <c r="E22" i="8" s="1"/>
  <c r="D59" i="7"/>
  <c r="E58" i="7" s="1"/>
  <c r="G81" i="7"/>
  <c r="G83" i="7" s="1"/>
  <c r="G37" i="8" s="1"/>
  <c r="G39" i="8" s="1"/>
  <c r="F113" i="7"/>
  <c r="G112" i="7" s="1"/>
  <c r="J7" i="4"/>
  <c r="F9" i="39"/>
  <c r="G6" i="39"/>
  <c r="G117" i="7" l="1"/>
  <c r="H116" i="7" s="1"/>
  <c r="H87" i="7"/>
  <c r="G37" i="4"/>
  <c r="H82" i="7" s="1"/>
  <c r="H84" i="7" s="1"/>
  <c r="G38" i="4"/>
  <c r="H88" i="7" s="1"/>
  <c r="H90" i="7" s="1"/>
  <c r="G36" i="4"/>
  <c r="H76" i="7" s="1"/>
  <c r="G21" i="5"/>
  <c r="G22" i="5" s="1"/>
  <c r="G34" i="4"/>
  <c r="H64" i="7" s="1"/>
  <c r="G35" i="4"/>
  <c r="H70" i="7" s="1"/>
  <c r="G89" i="7"/>
  <c r="G41" i="8" s="1"/>
  <c r="G43" i="8" s="1"/>
  <c r="F28" i="5"/>
  <c r="G27" i="5" s="1"/>
  <c r="G19" i="5"/>
  <c r="G59" i="7"/>
  <c r="H58" i="7" s="1"/>
  <c r="H29" i="7"/>
  <c r="G31" i="7"/>
  <c r="G20" i="8" s="1"/>
  <c r="G22" i="8" s="1"/>
  <c r="K7" i="4"/>
  <c r="H34" i="10"/>
  <c r="G31" i="4"/>
  <c r="H30" i="7" s="1"/>
  <c r="H32" i="7" s="1"/>
  <c r="G27" i="4"/>
  <c r="G29" i="4"/>
  <c r="G43" i="4"/>
  <c r="G30" i="4"/>
  <c r="G28" i="4"/>
  <c r="I9" i="4"/>
  <c r="H18" i="4"/>
  <c r="H17" i="4"/>
  <c r="H81" i="7"/>
  <c r="H83" i="7" s="1"/>
  <c r="H37" i="8" s="1"/>
  <c r="H39" i="8" s="1"/>
  <c r="G113" i="7"/>
  <c r="H112" i="7" s="1"/>
  <c r="G9" i="39"/>
  <c r="H6" i="39"/>
  <c r="I34" i="10" l="1"/>
  <c r="H31" i="4"/>
  <c r="I30" i="7" s="1"/>
  <c r="I32" i="7" s="1"/>
  <c r="H27" i="4"/>
  <c r="H29" i="4"/>
  <c r="H28" i="4"/>
  <c r="H30" i="4"/>
  <c r="H43" i="4"/>
  <c r="I29" i="7"/>
  <c r="I31" i="7" s="1"/>
  <c r="I20" i="8" s="1"/>
  <c r="I22" i="8" s="1"/>
  <c r="H59" i="7"/>
  <c r="I58" i="7" s="1"/>
  <c r="I81" i="7"/>
  <c r="I83" i="7" s="1"/>
  <c r="I37" i="8" s="1"/>
  <c r="I39" i="8" s="1"/>
  <c r="H113" i="7"/>
  <c r="I112" i="7" s="1"/>
  <c r="H34" i="4"/>
  <c r="I64" i="7" s="1"/>
  <c r="H37" i="4"/>
  <c r="I82" i="7" s="1"/>
  <c r="I84" i="7" s="1"/>
  <c r="H38" i="4"/>
  <c r="I88" i="7" s="1"/>
  <c r="I90" i="7" s="1"/>
  <c r="H36" i="4"/>
  <c r="I76" i="7" s="1"/>
  <c r="H21" i="5"/>
  <c r="H22" i="5" s="1"/>
  <c r="H35" i="4"/>
  <c r="I70" i="7" s="1"/>
  <c r="G20" i="5"/>
  <c r="G6" i="6" s="1"/>
  <c r="H19" i="5"/>
  <c r="G28" i="5"/>
  <c r="H27" i="5" s="1"/>
  <c r="H89" i="7"/>
  <c r="H41" i="8" s="1"/>
  <c r="H43" i="8" s="1"/>
  <c r="H117" i="7"/>
  <c r="I116" i="7" s="1"/>
  <c r="I87" i="7"/>
  <c r="J9" i="4"/>
  <c r="I17" i="4"/>
  <c r="I18" i="4"/>
  <c r="H31" i="7"/>
  <c r="H20" i="8" s="1"/>
  <c r="H22" i="8" s="1"/>
  <c r="H9" i="39"/>
  <c r="I6" i="39"/>
  <c r="J34" i="10" l="1"/>
  <c r="I30" i="4"/>
  <c r="I43" i="4"/>
  <c r="I31" i="4"/>
  <c r="J30" i="7" s="1"/>
  <c r="J32" i="7" s="1"/>
  <c r="I27" i="4"/>
  <c r="I29" i="4"/>
  <c r="I28" i="4"/>
  <c r="J81" i="7"/>
  <c r="J83" i="7" s="1"/>
  <c r="J37" i="8" s="1"/>
  <c r="J39" i="8" s="1"/>
  <c r="I113" i="7"/>
  <c r="J112" i="7" s="1"/>
  <c r="I117" i="7"/>
  <c r="J116" i="7" s="1"/>
  <c r="J87" i="7"/>
  <c r="H20" i="5"/>
  <c r="H6" i="6" s="1"/>
  <c r="H28" i="5"/>
  <c r="I27" i="5" s="1"/>
  <c r="I19" i="5"/>
  <c r="J29" i="7"/>
  <c r="I59" i="7"/>
  <c r="J58" i="7" s="1"/>
  <c r="I36" i="4"/>
  <c r="J76" i="7" s="1"/>
  <c r="I37" i="4"/>
  <c r="J82" i="7" s="1"/>
  <c r="J84" i="7" s="1"/>
  <c r="I38" i="4"/>
  <c r="J88" i="7" s="1"/>
  <c r="J90" i="7" s="1"/>
  <c r="I35" i="4"/>
  <c r="J70" i="7" s="1"/>
  <c r="I21" i="5"/>
  <c r="I22" i="5" s="1"/>
  <c r="I34" i="4"/>
  <c r="J64" i="7" s="1"/>
  <c r="K9" i="4"/>
  <c r="J17" i="4"/>
  <c r="J18" i="4"/>
  <c r="I89" i="7"/>
  <c r="I41" i="8" s="1"/>
  <c r="I43" i="8" s="1"/>
  <c r="I9" i="39"/>
  <c r="J6" i="39"/>
  <c r="K34" i="10" l="1"/>
  <c r="J30" i="4"/>
  <c r="J43" i="4"/>
  <c r="J29" i="4"/>
  <c r="J31" i="4"/>
  <c r="K30" i="7" s="1"/>
  <c r="K32" i="7" s="1"/>
  <c r="J27" i="4"/>
  <c r="J28" i="4"/>
  <c r="K29" i="7"/>
  <c r="K31" i="7" s="1"/>
  <c r="K20" i="8" s="1"/>
  <c r="K22" i="8" s="1"/>
  <c r="J59" i="7"/>
  <c r="K58" i="7" s="1"/>
  <c r="K18" i="4"/>
  <c r="K17" i="4"/>
  <c r="J117" i="7"/>
  <c r="K116" i="7" s="1"/>
  <c r="K87" i="7"/>
  <c r="J31" i="7"/>
  <c r="J20" i="8" s="1"/>
  <c r="J22" i="8" s="1"/>
  <c r="J89" i="7"/>
  <c r="J41" i="8" s="1"/>
  <c r="J43" i="8" s="1"/>
  <c r="K81" i="7"/>
  <c r="K83" i="7" s="1"/>
  <c r="K37" i="8" s="1"/>
  <c r="K39" i="8" s="1"/>
  <c r="J113" i="7"/>
  <c r="K112" i="7" s="1"/>
  <c r="I20" i="5"/>
  <c r="I6" i="6" s="1"/>
  <c r="J36" i="4"/>
  <c r="K76" i="7" s="1"/>
  <c r="J38" i="4"/>
  <c r="K88" i="7" s="1"/>
  <c r="K90" i="7" s="1"/>
  <c r="J35" i="4"/>
  <c r="K70" i="7" s="1"/>
  <c r="J37" i="4"/>
  <c r="K82" i="7" s="1"/>
  <c r="K84" i="7" s="1"/>
  <c r="J21" i="5"/>
  <c r="J22" i="5" s="1"/>
  <c r="J34" i="4"/>
  <c r="K64" i="7" s="1"/>
  <c r="J19" i="5"/>
  <c r="J20" i="5" s="1"/>
  <c r="J6" i="6" s="1"/>
  <c r="I28" i="5"/>
  <c r="J27" i="5" s="1"/>
  <c r="J9" i="39"/>
  <c r="K6" i="39"/>
  <c r="K117" i="7" l="1"/>
  <c r="L116" i="7" s="1"/>
  <c r="L87" i="7"/>
  <c r="K19" i="5"/>
  <c r="J28" i="5"/>
  <c r="K27" i="5" s="1"/>
  <c r="L34" i="10"/>
  <c r="K30" i="4"/>
  <c r="K29" i="4"/>
  <c r="K27" i="4"/>
  <c r="K31" i="4"/>
  <c r="L30" i="7" s="1"/>
  <c r="L32" i="7" s="1"/>
  <c r="L59" i="7" s="1"/>
  <c r="K43" i="4"/>
  <c r="K28" i="4"/>
  <c r="L81" i="7"/>
  <c r="L83" i="7" s="1"/>
  <c r="L37" i="8" s="1"/>
  <c r="L39" i="8" s="1"/>
  <c r="K113" i="7"/>
  <c r="L112" i="7" s="1"/>
  <c r="K35" i="4"/>
  <c r="L70" i="7" s="1"/>
  <c r="K34" i="4"/>
  <c r="L64" i="7" s="1"/>
  <c r="K36" i="4"/>
  <c r="L76" i="7" s="1"/>
  <c r="K21" i="5"/>
  <c r="K22" i="5" s="1"/>
  <c r="K28" i="5" s="1"/>
  <c r="K37" i="4"/>
  <c r="L82" i="7" s="1"/>
  <c r="L84" i="7" s="1"/>
  <c r="L113" i="7" s="1"/>
  <c r="K38" i="4"/>
  <c r="L88" i="7" s="1"/>
  <c r="L90" i="7" s="1"/>
  <c r="L117" i="7" s="1"/>
  <c r="K89" i="7"/>
  <c r="K41" i="8" s="1"/>
  <c r="K43" i="8" s="1"/>
  <c r="L29" i="7"/>
  <c r="L31" i="7" s="1"/>
  <c r="L20" i="8" s="1"/>
  <c r="L22" i="8" s="1"/>
  <c r="K59" i="7"/>
  <c r="L58" i="7" s="1"/>
  <c r="K9" i="39"/>
  <c r="L6" i="39"/>
  <c r="K20" i="5" l="1"/>
  <c r="K6" i="6" s="1"/>
  <c r="L89" i="7"/>
  <c r="L41" i="8" s="1"/>
  <c r="L43" i="8" s="1"/>
  <c r="L9" i="39"/>
  <c r="C47" i="20" l="1"/>
  <c r="B8" i="2"/>
  <c r="E8" i="2" s="1"/>
  <c r="C4" i="38" l="1"/>
  <c r="C5" i="38" s="1"/>
  <c r="C11" i="38" s="1"/>
  <c r="C10" i="38" s="1"/>
  <c r="C7" i="10"/>
  <c r="D4" i="38" l="1"/>
  <c r="E4" i="38" s="1"/>
  <c r="F4" i="38" s="1"/>
  <c r="G4" i="38" s="1"/>
  <c r="H4" i="38" s="1"/>
  <c r="I4" i="38" s="1"/>
  <c r="J4" i="38" s="1"/>
  <c r="K4" i="38" s="1"/>
  <c r="C13" i="38"/>
  <c r="C15" i="38" s="1"/>
  <c r="B13" i="38"/>
  <c r="B15" i="38" s="1"/>
  <c r="C15" i="10"/>
  <c r="C14" i="10"/>
  <c r="A19" i="36"/>
  <c r="A32" i="36" s="1"/>
  <c r="A45" i="36" s="1"/>
  <c r="C64" i="18"/>
  <c r="C17" i="8"/>
  <c r="D38" i="7"/>
  <c r="D64" i="18" s="1"/>
  <c r="D37" i="7"/>
  <c r="E37" i="7" s="1"/>
  <c r="F37" i="7" s="1"/>
  <c r="G37" i="7" s="1"/>
  <c r="H37" i="7" s="1"/>
  <c r="I37" i="7" s="1"/>
  <c r="J37" i="7" s="1"/>
  <c r="K37" i="7" s="1"/>
  <c r="L37" i="7" s="1"/>
  <c r="D36" i="7"/>
  <c r="E36" i="7" s="1"/>
  <c r="F36" i="7" s="1"/>
  <c r="G36" i="7" s="1"/>
  <c r="H36" i="7" s="1"/>
  <c r="I36" i="7" s="1"/>
  <c r="J36" i="7" s="1"/>
  <c r="K36" i="7" s="1"/>
  <c r="L36" i="7" s="1"/>
  <c r="D35" i="7"/>
  <c r="E35" i="7" s="1"/>
  <c r="F35" i="7" s="1"/>
  <c r="G35" i="7" s="1"/>
  <c r="H35" i="7" s="1"/>
  <c r="I35" i="7" s="1"/>
  <c r="J35" i="7" s="1"/>
  <c r="K35" i="7" s="1"/>
  <c r="L35" i="7" s="1"/>
  <c r="C23" i="7"/>
  <c r="N29" i="4"/>
  <c r="A30" i="4"/>
  <c r="A29" i="4"/>
  <c r="A28" i="4"/>
  <c r="A27" i="4"/>
  <c r="B10" i="7" l="1"/>
  <c r="A35" i="4"/>
  <c r="B19" i="18"/>
  <c r="B16" i="7"/>
  <c r="B20" i="18"/>
  <c r="A36" i="4"/>
  <c r="B18" i="18"/>
  <c r="A34" i="4"/>
  <c r="B22" i="7"/>
  <c r="A37" i="4"/>
  <c r="B21" i="18"/>
  <c r="D5" i="38"/>
  <c r="D17" i="8"/>
  <c r="E38" i="7"/>
  <c r="B38" i="7"/>
  <c r="B64" i="18" s="1"/>
  <c r="B53" i="7"/>
  <c r="B16" i="8"/>
  <c r="B62" i="7" l="1"/>
  <c r="B93" i="7" s="1"/>
  <c r="B25" i="18"/>
  <c r="B28" i="18"/>
  <c r="B80" i="7"/>
  <c r="B27" i="18"/>
  <c r="B74" i="7"/>
  <c r="B26" i="18"/>
  <c r="B68" i="7"/>
  <c r="E5" i="38"/>
  <c r="D11" i="38"/>
  <c r="D10" i="38" s="1"/>
  <c r="D13" i="38" s="1"/>
  <c r="D15" i="38" s="1"/>
  <c r="F38" i="7"/>
  <c r="E64" i="18"/>
  <c r="E17" i="8"/>
  <c r="A30" i="36"/>
  <c r="A43" i="36" s="1"/>
  <c r="A29" i="36"/>
  <c r="A42" i="36" s="1"/>
  <c r="B96" i="7" l="1"/>
  <c r="B111" i="7"/>
  <c r="B107" i="7"/>
  <c r="B95" i="7"/>
  <c r="B94" i="7"/>
  <c r="B103" i="7"/>
  <c r="B68" i="18"/>
  <c r="B99" i="7"/>
  <c r="B25" i="8"/>
  <c r="F5" i="38"/>
  <c r="E11" i="38"/>
  <c r="E10" i="38" s="1"/>
  <c r="G38" i="7"/>
  <c r="F17" i="8"/>
  <c r="F64" i="18"/>
  <c r="C11" i="5"/>
  <c r="D11" i="5" s="1"/>
  <c r="E11" i="5" s="1"/>
  <c r="F11" i="5" s="1"/>
  <c r="G11" i="5" s="1"/>
  <c r="H11" i="5" s="1"/>
  <c r="I11" i="5" s="1"/>
  <c r="J11" i="5" s="1"/>
  <c r="K11" i="5" s="1"/>
  <c r="B33" i="8" l="1"/>
  <c r="B70" i="18"/>
  <c r="B29" i="8"/>
  <c r="B69" i="18"/>
  <c r="B37" i="8"/>
  <c r="B71" i="18"/>
  <c r="E13" i="38"/>
  <c r="E15" i="38" s="1"/>
  <c r="G5" i="38"/>
  <c r="F11" i="38"/>
  <c r="F10" i="38" s="1"/>
  <c r="H38" i="7"/>
  <c r="G17" i="8"/>
  <c r="G64" i="18"/>
  <c r="F13" i="38" l="1"/>
  <c r="F15" i="38" s="1"/>
  <c r="H5" i="38"/>
  <c r="I5" i="38" s="1"/>
  <c r="J5" i="38" s="1"/>
  <c r="K5" i="38" s="1"/>
  <c r="G11" i="38"/>
  <c r="G10" i="38" s="1"/>
  <c r="I38" i="7"/>
  <c r="H64" i="18"/>
  <c r="H17" i="8"/>
  <c r="G13" i="38" l="1"/>
  <c r="G15" i="38" s="1"/>
  <c r="H11" i="38"/>
  <c r="H10" i="38" s="1"/>
  <c r="J38" i="7"/>
  <c r="I64" i="18"/>
  <c r="I17" i="8"/>
  <c r="N28" i="4"/>
  <c r="N30" i="4"/>
  <c r="N27" i="4"/>
  <c r="H13" i="38" l="1"/>
  <c r="H15" i="38" s="1"/>
  <c r="I11" i="38"/>
  <c r="I10" i="38" s="1"/>
  <c r="K38" i="7"/>
  <c r="J17" i="8"/>
  <c r="J64" i="18"/>
  <c r="N40" i="4"/>
  <c r="J52" i="17"/>
  <c r="I56" i="17"/>
  <c r="J56" i="17"/>
  <c r="K56" i="17"/>
  <c r="K24" i="16"/>
  <c r="L24" i="16"/>
  <c r="M24" i="16"/>
  <c r="L25" i="16"/>
  <c r="M26" i="16"/>
  <c r="J20" i="15"/>
  <c r="K20" i="15"/>
  <c r="M25" i="16" s="1"/>
  <c r="L20" i="15"/>
  <c r="I30" i="12"/>
  <c r="K26" i="16" s="1"/>
  <c r="J30" i="12"/>
  <c r="J37" i="17" s="1"/>
  <c r="K30" i="12"/>
  <c r="K52" i="17" s="1"/>
  <c r="B27" i="12"/>
  <c r="C5" i="37" s="1"/>
  <c r="H10" i="31"/>
  <c r="B13" i="30"/>
  <c r="C13" i="30" s="1"/>
  <c r="D13" i="30" s="1"/>
  <c r="E13" i="30" s="1"/>
  <c r="F13" i="30" s="1"/>
  <c r="G13" i="30" s="1"/>
  <c r="H13" i="30" s="1"/>
  <c r="I13" i="30" s="1"/>
  <c r="J13" i="30" s="1"/>
  <c r="K13" i="30" s="1"/>
  <c r="B28" i="29"/>
  <c r="B22" i="29"/>
  <c r="C22" i="29" s="1"/>
  <c r="D22" i="29" s="1"/>
  <c r="E22" i="29" s="1"/>
  <c r="F22" i="29" s="1"/>
  <c r="G22" i="29" s="1"/>
  <c r="H22" i="29" s="1"/>
  <c r="I22" i="29" s="1"/>
  <c r="J22" i="29" s="1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C27" i="12" l="1"/>
  <c r="D5" i="37" s="1"/>
  <c r="D27" i="12"/>
  <c r="L26" i="16"/>
  <c r="I52" i="17"/>
  <c r="I37" i="17"/>
  <c r="K37" i="17"/>
  <c r="I13" i="38"/>
  <c r="I15" i="38" s="1"/>
  <c r="K11" i="38"/>
  <c r="J11" i="38"/>
  <c r="J10" i="38" s="1"/>
  <c r="L38" i="7"/>
  <c r="K17" i="8"/>
  <c r="K64" i="18"/>
  <c r="K22" i="29"/>
  <c r="K12" i="29"/>
  <c r="E27" i="12" l="1"/>
  <c r="E5" i="37"/>
  <c r="K10" i="38"/>
  <c r="K13" i="38" s="1"/>
  <c r="K15" i="38" s="1"/>
  <c r="J13" i="38"/>
  <c r="J15" i="38" s="1"/>
  <c r="L64" i="18"/>
  <c r="L17" i="8"/>
  <c r="F27" i="12" l="1"/>
  <c r="F5" i="37"/>
  <c r="B12" i="5"/>
  <c r="B4" i="6" s="1"/>
  <c r="G27" i="12" l="1"/>
  <c r="G5" i="37"/>
  <c r="B17" i="28"/>
  <c r="C17" i="28" s="1"/>
  <c r="D17" i="28" s="1"/>
  <c r="E17" i="28" s="1"/>
  <c r="F17" i="28" s="1"/>
  <c r="G17" i="28" s="1"/>
  <c r="H17" i="28" s="1"/>
  <c r="B5" i="28"/>
  <c r="H27" i="12" l="1"/>
  <c r="H5" i="37"/>
  <c r="B4" i="7"/>
  <c r="B35" i="7" s="1"/>
  <c r="C55" i="18"/>
  <c r="C54" i="18"/>
  <c r="I27" i="12" l="1"/>
  <c r="I5" i="37"/>
  <c r="C12" i="5"/>
  <c r="J27" i="12" l="1"/>
  <c r="J5" i="37"/>
  <c r="I8" i="14"/>
  <c r="I53" i="17"/>
  <c r="I8" i="29"/>
  <c r="I40" i="17"/>
  <c r="I9" i="30"/>
  <c r="D12" i="5"/>
  <c r="D15" i="18"/>
  <c r="C15" i="18"/>
  <c r="C14" i="18"/>
  <c r="D13" i="18"/>
  <c r="C13" i="18"/>
  <c r="H56" i="17"/>
  <c r="C18" i="16"/>
  <c r="C17" i="16"/>
  <c r="C16" i="16"/>
  <c r="B33" i="15"/>
  <c r="B32" i="15"/>
  <c r="B19" i="15"/>
  <c r="H30" i="12"/>
  <c r="G15" i="9"/>
  <c r="G14" i="9"/>
  <c r="B13" i="17"/>
  <c r="C13" i="17" s="1"/>
  <c r="D13" i="17" s="1"/>
  <c r="E13" i="17" s="1"/>
  <c r="F13" i="17" s="1"/>
  <c r="G13" i="17" s="1"/>
  <c r="H13" i="17" s="1"/>
  <c r="C33" i="15"/>
  <c r="K27" i="12" l="1"/>
  <c r="K5" i="37"/>
  <c r="J8" i="14"/>
  <c r="J40" i="17"/>
  <c r="J9" i="30"/>
  <c r="J53" i="17"/>
  <c r="J8" i="29"/>
  <c r="B6" i="31"/>
  <c r="B9" i="30"/>
  <c r="B8" i="29"/>
  <c r="J26" i="16"/>
  <c r="H7" i="31"/>
  <c r="H9" i="31" s="1"/>
  <c r="C32" i="15"/>
  <c r="E12" i="5"/>
  <c r="B7" i="17"/>
  <c r="B40" i="17"/>
  <c r="B53" i="17"/>
  <c r="L5" i="37" l="1"/>
  <c r="K40" i="17"/>
  <c r="K9" i="30"/>
  <c r="K53" i="17"/>
  <c r="K8" i="29"/>
  <c r="K8" i="14"/>
  <c r="F12" i="5"/>
  <c r="G12" i="5" l="1"/>
  <c r="H6" i="22"/>
  <c r="G6" i="22"/>
  <c r="H5" i="22"/>
  <c r="G5" i="22"/>
  <c r="G9" i="22"/>
  <c r="G8" i="22"/>
  <c r="G7" i="22"/>
  <c r="H8" i="22"/>
  <c r="B7" i="12" l="1"/>
  <c r="H9" i="22"/>
  <c r="H7" i="22"/>
  <c r="I4" i="22"/>
  <c r="H12" i="5" l="1"/>
  <c r="E15" i="18"/>
  <c r="I5" i="22"/>
  <c r="I6" i="22"/>
  <c r="C7" i="12"/>
  <c r="I9" i="22"/>
  <c r="I8" i="22"/>
  <c r="J4" i="22"/>
  <c r="I7" i="22"/>
  <c r="I12" i="5" l="1"/>
  <c r="F15" i="18"/>
  <c r="J5" i="22"/>
  <c r="J6" i="22"/>
  <c r="D7" i="12"/>
  <c r="J9" i="22"/>
  <c r="J8" i="22"/>
  <c r="K4" i="22"/>
  <c r="J7" i="22"/>
  <c r="I4" i="6" l="1"/>
  <c r="K12" i="5"/>
  <c r="J12" i="5"/>
  <c r="G15" i="18"/>
  <c r="K5" i="22"/>
  <c r="K6" i="22"/>
  <c r="E7" i="12"/>
  <c r="K7" i="22"/>
  <c r="K9" i="22"/>
  <c r="K8" i="22"/>
  <c r="L4" i="22"/>
  <c r="J4" i="6" l="1"/>
  <c r="K4" i="6"/>
  <c r="J43" i="18"/>
  <c r="H15" i="18"/>
  <c r="L6" i="22"/>
  <c r="L5" i="22"/>
  <c r="F7" i="12"/>
  <c r="L8" i="22"/>
  <c r="M4" i="22"/>
  <c r="L7" i="22"/>
  <c r="L9" i="22"/>
  <c r="L43" i="18" l="1"/>
  <c r="K43" i="18"/>
  <c r="I15" i="18"/>
  <c r="M5" i="22"/>
  <c r="M6" i="22"/>
  <c r="G7" i="12"/>
  <c r="M9" i="22"/>
  <c r="M8" i="22"/>
  <c r="M7" i="22"/>
  <c r="H7" i="12" l="1"/>
  <c r="C3" i="21" l="1"/>
  <c r="C46" i="18"/>
  <c r="B15" i="6"/>
  <c r="C26" i="10"/>
  <c r="B10" i="23"/>
  <c r="D46" i="18" l="1"/>
  <c r="C15" i="6"/>
  <c r="D26" i="10"/>
  <c r="C10" i="23"/>
  <c r="D3" i="21"/>
  <c r="C62" i="18"/>
  <c r="C63" i="18"/>
  <c r="C61" i="18"/>
  <c r="B61" i="18"/>
  <c r="C52" i="18"/>
  <c r="B34" i="18"/>
  <c r="B36" i="18"/>
  <c r="B33" i="18"/>
  <c r="I19" i="13"/>
  <c r="B6" i="24" s="1"/>
  <c r="B18" i="12"/>
  <c r="D16" i="10"/>
  <c r="E16" i="10" s="1"/>
  <c r="F16" i="10" s="1"/>
  <c r="G16" i="10" s="1"/>
  <c r="H16" i="10" s="1"/>
  <c r="I16" i="10" s="1"/>
  <c r="J16" i="10" s="1"/>
  <c r="K16" i="10" s="1"/>
  <c r="L16" i="10" s="1"/>
  <c r="D9" i="10"/>
  <c r="E9" i="10" s="1"/>
  <c r="F9" i="10" s="1"/>
  <c r="G9" i="10" s="1"/>
  <c r="H9" i="10" s="1"/>
  <c r="I9" i="10" s="1"/>
  <c r="J9" i="10" s="1"/>
  <c r="K9" i="10" s="1"/>
  <c r="L9" i="10" s="1"/>
  <c r="D15" i="10"/>
  <c r="E15" i="10" s="1"/>
  <c r="F15" i="10" s="1"/>
  <c r="G15" i="10" s="1"/>
  <c r="H15" i="10" s="1"/>
  <c r="I15" i="10" s="1"/>
  <c r="J15" i="10" s="1"/>
  <c r="K15" i="10" s="1"/>
  <c r="L15" i="10" s="1"/>
  <c r="D14" i="10"/>
  <c r="E14" i="10" s="1"/>
  <c r="F14" i="10" s="1"/>
  <c r="G14" i="10" s="1"/>
  <c r="H14" i="10" s="1"/>
  <c r="I14" i="10" s="1"/>
  <c r="J14" i="10" s="1"/>
  <c r="K14" i="10" s="1"/>
  <c r="L14" i="10" s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D7" i="10"/>
  <c r="E7" i="10" s="1"/>
  <c r="F7" i="10" s="1"/>
  <c r="G7" i="10" s="1"/>
  <c r="H7" i="10" s="1"/>
  <c r="I7" i="10" s="1"/>
  <c r="J7" i="10" s="1"/>
  <c r="K7" i="10" s="1"/>
  <c r="L7" i="10" s="1"/>
  <c r="C6" i="10"/>
  <c r="D6" i="10" s="1"/>
  <c r="C25" i="10"/>
  <c r="Q3" i="10"/>
  <c r="C10" i="10" s="1"/>
  <c r="D10" i="10" s="1"/>
  <c r="E10" i="10" s="1"/>
  <c r="F10" i="10" s="1"/>
  <c r="G10" i="10" s="1"/>
  <c r="H10" i="10" s="1"/>
  <c r="I10" i="10" s="1"/>
  <c r="J10" i="10" s="1"/>
  <c r="K10" i="10" s="1"/>
  <c r="L10" i="10" s="1"/>
  <c r="D25" i="10" l="1"/>
  <c r="E25" i="10" s="1"/>
  <c r="F25" i="10" s="1"/>
  <c r="G25" i="10" s="1"/>
  <c r="H25" i="10" s="1"/>
  <c r="I25" i="10" s="1"/>
  <c r="J25" i="10" s="1"/>
  <c r="K25" i="10" s="1"/>
  <c r="L25" i="10" s="1"/>
  <c r="B6" i="2"/>
  <c r="E6" i="2" s="1"/>
  <c r="E46" i="18"/>
  <c r="E26" i="10"/>
  <c r="D15" i="6"/>
  <c r="D10" i="23"/>
  <c r="E3" i="21"/>
  <c r="E6" i="10"/>
  <c r="N13" i="10" l="1"/>
  <c r="O16" i="10"/>
  <c r="C15" i="16"/>
  <c r="C32" i="16" s="1"/>
  <c r="F46" i="18"/>
  <c r="E15" i="6"/>
  <c r="F26" i="10"/>
  <c r="E10" i="23"/>
  <c r="F3" i="21"/>
  <c r="C5" i="3"/>
  <c r="F6" i="10"/>
  <c r="C23" i="10" l="1"/>
  <c r="G3" i="21"/>
  <c r="G46" i="18"/>
  <c r="G26" i="10"/>
  <c r="F15" i="6"/>
  <c r="F10" i="23"/>
  <c r="B28" i="15"/>
  <c r="B30" i="15" s="1"/>
  <c r="C10" i="3"/>
  <c r="G6" i="10"/>
  <c r="H3" i="21" l="1"/>
  <c r="H46" i="18"/>
  <c r="H26" i="10"/>
  <c r="G15" i="6"/>
  <c r="G10" i="23"/>
  <c r="H6" i="10"/>
  <c r="I46" i="18" l="1"/>
  <c r="H15" i="6"/>
  <c r="I26" i="10"/>
  <c r="H10" i="23"/>
  <c r="I6" i="10"/>
  <c r="J6" i="10" s="1"/>
  <c r="K6" i="10" s="1"/>
  <c r="L6" i="10" s="1"/>
  <c r="E18" i="9" l="1"/>
  <c r="G17" i="9"/>
  <c r="G16" i="9"/>
  <c r="G13" i="9"/>
  <c r="G12" i="9"/>
  <c r="G11" i="9"/>
  <c r="G9" i="9"/>
  <c r="G8" i="9"/>
  <c r="G7" i="9"/>
  <c r="G6" i="9"/>
  <c r="G5" i="9"/>
  <c r="G4" i="9"/>
  <c r="G3" i="9"/>
  <c r="C13" i="8"/>
  <c r="B12" i="8"/>
  <c r="C9" i="8"/>
  <c r="C5" i="8"/>
  <c r="B11" i="12"/>
  <c r="B49" i="7"/>
  <c r="B37" i="7"/>
  <c r="B63" i="18" s="1"/>
  <c r="C17" i="7"/>
  <c r="C11" i="7"/>
  <c r="B45" i="7"/>
  <c r="C5" i="7"/>
  <c r="B41" i="7"/>
  <c r="C43" i="18"/>
  <c r="C24" i="10" l="1"/>
  <c r="G18" i="9"/>
  <c r="C13" i="10"/>
  <c r="D61" i="18"/>
  <c r="D63" i="18"/>
  <c r="B8" i="8"/>
  <c r="B4" i="8"/>
  <c r="D62" i="18"/>
  <c r="D9" i="8"/>
  <c r="D13" i="8"/>
  <c r="D5" i="8"/>
  <c r="B36" i="7"/>
  <c r="B62" i="18" s="1"/>
  <c r="D13" i="10" l="1"/>
  <c r="C17" i="10"/>
  <c r="C18" i="10" s="1"/>
  <c r="D24" i="10"/>
  <c r="E61" i="18"/>
  <c r="E5" i="8"/>
  <c r="E63" i="18"/>
  <c r="E13" i="8"/>
  <c r="E62" i="18"/>
  <c r="E9" i="8"/>
  <c r="E24" i="10" l="1"/>
  <c r="E13" i="10"/>
  <c r="D17" i="10"/>
  <c r="D18" i="10" s="1"/>
  <c r="F61" i="18"/>
  <c r="F5" i="8"/>
  <c r="F13" i="8"/>
  <c r="F63" i="18"/>
  <c r="G62" i="18"/>
  <c r="G9" i="8"/>
  <c r="F62" i="18"/>
  <c r="F9" i="8"/>
  <c r="F24" i="10" l="1"/>
  <c r="E17" i="10"/>
  <c r="E18" i="10" s="1"/>
  <c r="F13" i="10"/>
  <c r="G61" i="18"/>
  <c r="G5" i="8"/>
  <c r="G13" i="8"/>
  <c r="G63" i="18"/>
  <c r="H62" i="18"/>
  <c r="H9" i="8"/>
  <c r="J9" i="8" l="1"/>
  <c r="J62" i="18"/>
  <c r="G24" i="10"/>
  <c r="F17" i="10"/>
  <c r="F18" i="10" s="1"/>
  <c r="G13" i="10"/>
  <c r="H61" i="18"/>
  <c r="H5" i="8"/>
  <c r="H13" i="8"/>
  <c r="H63" i="18"/>
  <c r="I62" i="18"/>
  <c r="I9" i="8"/>
  <c r="D8" i="1"/>
  <c r="C4" i="6"/>
  <c r="D43" i="18" s="1"/>
  <c r="J63" i="18" l="1"/>
  <c r="J13" i="8"/>
  <c r="K9" i="8"/>
  <c r="K62" i="18"/>
  <c r="J61" i="18"/>
  <c r="J5" i="8"/>
  <c r="H24" i="10"/>
  <c r="H13" i="10"/>
  <c r="G17" i="10"/>
  <c r="G18" i="10" s="1"/>
  <c r="D14" i="18"/>
  <c r="I5" i="8"/>
  <c r="I61" i="18"/>
  <c r="I13" i="8"/>
  <c r="I63" i="18"/>
  <c r="E13" i="18"/>
  <c r="D4" i="6"/>
  <c r="E43" i="18" s="1"/>
  <c r="K63" i="18" l="1"/>
  <c r="K13" i="8"/>
  <c r="L62" i="18"/>
  <c r="L9" i="8"/>
  <c r="K5" i="8"/>
  <c r="K61" i="18"/>
  <c r="I24" i="10"/>
  <c r="H17" i="10"/>
  <c r="H18" i="10" s="1"/>
  <c r="I13" i="10"/>
  <c r="J13" i="10" s="1"/>
  <c r="F13" i="18"/>
  <c r="E4" i="6"/>
  <c r="F43" i="18" s="1"/>
  <c r="L63" i="18" l="1"/>
  <c r="L13" i="8"/>
  <c r="L5" i="8"/>
  <c r="L61" i="18"/>
  <c r="K13" i="10"/>
  <c r="J17" i="10"/>
  <c r="J18" i="10"/>
  <c r="J24" i="10"/>
  <c r="I17" i="10"/>
  <c r="I18" i="10" s="1"/>
  <c r="E14" i="18"/>
  <c r="G13" i="18"/>
  <c r="F4" i="6"/>
  <c r="G43" i="18" s="1"/>
  <c r="K24" i="10" l="1"/>
  <c r="K17" i="10"/>
  <c r="K18" i="10" s="1"/>
  <c r="L13" i="10"/>
  <c r="F14" i="18"/>
  <c r="C11" i="23"/>
  <c r="H13" i="18"/>
  <c r="G4" i="6"/>
  <c r="H43" i="18" s="1"/>
  <c r="L17" i="10" l="1"/>
  <c r="L18" i="10" s="1"/>
  <c r="L24" i="10"/>
  <c r="G14" i="18"/>
  <c r="H4" i="6"/>
  <c r="I43" i="18" s="1"/>
  <c r="J13" i="18" l="1"/>
  <c r="I12" i="4"/>
  <c r="I17" i="38" s="1"/>
  <c r="H14" i="18"/>
  <c r="I13" i="18"/>
  <c r="J14" i="18" l="1"/>
  <c r="I42" i="4"/>
  <c r="K13" i="18"/>
  <c r="J12" i="4"/>
  <c r="J17" i="38" s="1"/>
  <c r="I14" i="18"/>
  <c r="C13" i="4"/>
  <c r="D52" i="18" s="1"/>
  <c r="I23" i="4" l="1"/>
  <c r="I22" i="4"/>
  <c r="I21" i="4"/>
  <c r="I20" i="4"/>
  <c r="J18" i="7"/>
  <c r="J37" i="10"/>
  <c r="J33" i="18"/>
  <c r="J6" i="7"/>
  <c r="J34" i="18"/>
  <c r="I7" i="5"/>
  <c r="J12" i="7"/>
  <c r="J42" i="4"/>
  <c r="L13" i="18"/>
  <c r="K12" i="4"/>
  <c r="K17" i="38" s="1"/>
  <c r="K14" i="18"/>
  <c r="D11" i="23"/>
  <c r="F24" i="16"/>
  <c r="D13" i="4"/>
  <c r="E52" i="18" s="1"/>
  <c r="F12" i="4"/>
  <c r="F17" i="38" s="1"/>
  <c r="C12" i="4"/>
  <c r="C17" i="38" s="1"/>
  <c r="D12" i="4"/>
  <c r="D17" i="38" s="1"/>
  <c r="G12" i="4"/>
  <c r="G17" i="38" s="1"/>
  <c r="H12" i="4"/>
  <c r="H17" i="38" s="1"/>
  <c r="B12" i="4"/>
  <c r="E12" i="4"/>
  <c r="E17" i="38" s="1"/>
  <c r="G21" i="4" l="1"/>
  <c r="G20" i="4"/>
  <c r="G23" i="4"/>
  <c r="G22" i="4"/>
  <c r="E23" i="4"/>
  <c r="E22" i="4"/>
  <c r="E21" i="4"/>
  <c r="E20" i="4"/>
  <c r="F22" i="4"/>
  <c r="F21" i="4"/>
  <c r="F20" i="4"/>
  <c r="F23" i="4"/>
  <c r="H20" i="4"/>
  <c r="H23" i="4"/>
  <c r="H22" i="4"/>
  <c r="H21" i="4"/>
  <c r="J22" i="4"/>
  <c r="J21" i="4"/>
  <c r="J20" i="4"/>
  <c r="J23" i="4"/>
  <c r="C21" i="4"/>
  <c r="C20" i="4"/>
  <c r="C23" i="4"/>
  <c r="C22" i="4"/>
  <c r="D20" i="4"/>
  <c r="D23" i="4"/>
  <c r="D22" i="4"/>
  <c r="D21" i="4"/>
  <c r="B23" i="4"/>
  <c r="C37" i="10"/>
  <c r="B22" i="4"/>
  <c r="B21" i="4"/>
  <c r="B20" i="4"/>
  <c r="H18" i="7"/>
  <c r="H37" i="10"/>
  <c r="F18" i="7"/>
  <c r="F37" i="10"/>
  <c r="G18" i="7"/>
  <c r="G37" i="10"/>
  <c r="I18" i="7"/>
  <c r="I37" i="10"/>
  <c r="K18" i="7"/>
  <c r="K37" i="10"/>
  <c r="D18" i="7"/>
  <c r="D37" i="10"/>
  <c r="E18" i="7"/>
  <c r="E37" i="10"/>
  <c r="C18" i="7"/>
  <c r="C20" i="7" s="1"/>
  <c r="G4" i="28"/>
  <c r="G6" i="28" s="1"/>
  <c r="G7" i="28" s="1"/>
  <c r="G8" i="28" s="1"/>
  <c r="H4" i="28"/>
  <c r="H6" i="28" s="1"/>
  <c r="H7" i="28" s="1"/>
  <c r="H8" i="28" s="1"/>
  <c r="J24" i="7"/>
  <c r="J26" i="7" s="1"/>
  <c r="I45" i="4"/>
  <c r="J40" i="10" s="1"/>
  <c r="F4" i="28"/>
  <c r="F6" i="28" s="1"/>
  <c r="F7" i="28" s="1"/>
  <c r="F8" i="28" s="1"/>
  <c r="C4" i="28"/>
  <c r="C6" i="28" s="1"/>
  <c r="C7" i="28" s="1"/>
  <c r="C8" i="28" s="1"/>
  <c r="D4" i="28"/>
  <c r="D6" i="28" s="1"/>
  <c r="D7" i="28" s="1"/>
  <c r="D8" i="28" s="1"/>
  <c r="K33" i="18"/>
  <c r="I8" i="5"/>
  <c r="I16" i="5" s="1"/>
  <c r="L14" i="18"/>
  <c r="K42" i="4"/>
  <c r="K6" i="7"/>
  <c r="K12" i="7"/>
  <c r="K34" i="18"/>
  <c r="J7" i="5"/>
  <c r="B4" i="28"/>
  <c r="B6" i="28" s="1"/>
  <c r="B7" i="28" s="1"/>
  <c r="B8" i="28" s="1"/>
  <c r="C14" i="4"/>
  <c r="C6" i="12" s="1"/>
  <c r="F34" i="18"/>
  <c r="F6" i="7"/>
  <c r="E7" i="5"/>
  <c r="E8" i="5" s="1"/>
  <c r="E16" i="5" s="1"/>
  <c r="F12" i="7"/>
  <c r="I34" i="18"/>
  <c r="I6" i="7"/>
  <c r="H7" i="5"/>
  <c r="I12" i="7"/>
  <c r="E12" i="7"/>
  <c r="E34" i="18"/>
  <c r="D7" i="5"/>
  <c r="D8" i="5" s="1"/>
  <c r="D16" i="5" s="1"/>
  <c r="E6" i="7"/>
  <c r="F7" i="5"/>
  <c r="F8" i="5" s="1"/>
  <c r="F16" i="5" s="1"/>
  <c r="G6" i="7"/>
  <c r="G34" i="18"/>
  <c r="G12" i="7"/>
  <c r="E4" i="28"/>
  <c r="E6" i="28" s="1"/>
  <c r="E7" i="28" s="1"/>
  <c r="E8" i="28" s="1"/>
  <c r="E24" i="4"/>
  <c r="C6" i="7"/>
  <c r="C8" i="7" s="1"/>
  <c r="B7" i="5"/>
  <c r="C12" i="7"/>
  <c r="C14" i="7" s="1"/>
  <c r="C24" i="7"/>
  <c r="H6" i="7"/>
  <c r="H34" i="18"/>
  <c r="G7" i="5"/>
  <c r="G8" i="5" s="1"/>
  <c r="G16" i="5" s="1"/>
  <c r="H12" i="7"/>
  <c r="D6" i="7"/>
  <c r="D34" i="18"/>
  <c r="C7" i="5"/>
  <c r="C8" i="5" s="1"/>
  <c r="C16" i="5" s="1"/>
  <c r="D12" i="7"/>
  <c r="F11" i="23"/>
  <c r="H24" i="16"/>
  <c r="E11" i="23"/>
  <c r="G24" i="16"/>
  <c r="D42" i="4"/>
  <c r="C24" i="4"/>
  <c r="E13" i="4"/>
  <c r="F52" i="18" s="1"/>
  <c r="C42" i="4"/>
  <c r="E42" i="4"/>
  <c r="D14" i="4"/>
  <c r="D6" i="12" s="1"/>
  <c r="B42" i="4"/>
  <c r="B14" i="4"/>
  <c r="B6" i="12" s="1"/>
  <c r="D24" i="4"/>
  <c r="F42" i="4"/>
  <c r="F24" i="4"/>
  <c r="H15" i="5" l="1"/>
  <c r="G31" i="5"/>
  <c r="J15" i="5"/>
  <c r="I31" i="5"/>
  <c r="G15" i="5"/>
  <c r="F31" i="5"/>
  <c r="E15" i="5"/>
  <c r="D31" i="5"/>
  <c r="D15" i="5"/>
  <c r="C31" i="5"/>
  <c r="F15" i="5"/>
  <c r="E31" i="5"/>
  <c r="J38" i="10"/>
  <c r="J31" i="10"/>
  <c r="J36" i="18"/>
  <c r="J5" i="39"/>
  <c r="K21" i="4"/>
  <c r="K20" i="4"/>
  <c r="K23" i="4"/>
  <c r="K22" i="4"/>
  <c r="L18" i="7"/>
  <c r="L37" i="10"/>
  <c r="D4" i="36"/>
  <c r="D43" i="36"/>
  <c r="D30" i="36"/>
  <c r="D17" i="36"/>
  <c r="C4" i="36"/>
  <c r="C17" i="36"/>
  <c r="C43" i="36"/>
  <c r="C30" i="36"/>
  <c r="J32" i="10"/>
  <c r="B30" i="36"/>
  <c r="B17" i="36"/>
  <c r="B43" i="36"/>
  <c r="B4" i="36"/>
  <c r="D24" i="7"/>
  <c r="D26" i="7" s="1"/>
  <c r="F24" i="7"/>
  <c r="F26" i="7" s="1"/>
  <c r="H24" i="7"/>
  <c r="H26" i="7" s="1"/>
  <c r="E24" i="7"/>
  <c r="E26" i="7" s="1"/>
  <c r="I24" i="7"/>
  <c r="I26" i="7" s="1"/>
  <c r="K24" i="7"/>
  <c r="K26" i="7" s="1"/>
  <c r="K23" i="7"/>
  <c r="J55" i="7"/>
  <c r="K54" i="7" s="1"/>
  <c r="G24" i="7"/>
  <c r="G26" i="7" s="1"/>
  <c r="C26" i="7"/>
  <c r="C25" i="7" s="1"/>
  <c r="C16" i="8" s="1"/>
  <c r="C18" i="8" s="1"/>
  <c r="L33" i="18"/>
  <c r="L34" i="18"/>
  <c r="K7" i="5"/>
  <c r="L6" i="7"/>
  <c r="L12" i="7"/>
  <c r="J45" i="4"/>
  <c r="J8" i="5"/>
  <c r="J16" i="5" s="1"/>
  <c r="J5" i="5"/>
  <c r="H8" i="5"/>
  <c r="B8" i="5"/>
  <c r="E33" i="18"/>
  <c r="D45" i="4"/>
  <c r="G33" i="18"/>
  <c r="F45" i="4"/>
  <c r="D33" i="18"/>
  <c r="C45" i="4"/>
  <c r="C33" i="18"/>
  <c r="F33" i="18"/>
  <c r="E45" i="4"/>
  <c r="F13" i="4"/>
  <c r="G52" i="18" s="1"/>
  <c r="E14" i="4"/>
  <c r="E6" i="12" s="1"/>
  <c r="H24" i="4"/>
  <c r="H42" i="4"/>
  <c r="G24" i="4"/>
  <c r="G42" i="4"/>
  <c r="K15" i="5" l="1"/>
  <c r="J31" i="5"/>
  <c r="B16" i="5"/>
  <c r="I5" i="5"/>
  <c r="I6" i="5" s="1"/>
  <c r="I3" i="6" s="1"/>
  <c r="H16" i="5"/>
  <c r="K5" i="39"/>
  <c r="K10" i="39" s="1"/>
  <c r="K12" i="39" s="1"/>
  <c r="K40" i="10"/>
  <c r="D5" i="39"/>
  <c r="D10" i="39" s="1"/>
  <c r="D12" i="39" s="1"/>
  <c r="D40" i="10"/>
  <c r="E5" i="39"/>
  <c r="E10" i="39" s="1"/>
  <c r="E12" i="39" s="1"/>
  <c r="E40" i="10"/>
  <c r="F5" i="39"/>
  <c r="F10" i="39" s="1"/>
  <c r="F12" i="39" s="1"/>
  <c r="F40" i="10"/>
  <c r="G5" i="39"/>
  <c r="G10" i="39" s="1"/>
  <c r="G12" i="39" s="1"/>
  <c r="G40" i="10"/>
  <c r="J6" i="5"/>
  <c r="J3" i="6" s="1"/>
  <c r="J10" i="39"/>
  <c r="J12" i="39" s="1"/>
  <c r="J7" i="39"/>
  <c r="E4" i="36"/>
  <c r="E43" i="36"/>
  <c r="E30" i="36"/>
  <c r="E17" i="36"/>
  <c r="B6" i="5"/>
  <c r="B3" i="6" s="1"/>
  <c r="L24" i="7"/>
  <c r="L26" i="7" s="1"/>
  <c r="L55" i="7" s="1"/>
  <c r="H23" i="7"/>
  <c r="H25" i="7" s="1"/>
  <c r="H16" i="8" s="1"/>
  <c r="H18" i="8" s="1"/>
  <c r="G55" i="7"/>
  <c r="H54" i="7" s="1"/>
  <c r="L23" i="7"/>
  <c r="K55" i="7"/>
  <c r="L54" i="7" s="1"/>
  <c r="F23" i="7"/>
  <c r="F25" i="7" s="1"/>
  <c r="F16" i="8" s="1"/>
  <c r="F18" i="8" s="1"/>
  <c r="E55" i="7"/>
  <c r="F54" i="7" s="1"/>
  <c r="G23" i="7"/>
  <c r="G25" i="7" s="1"/>
  <c r="G16" i="8" s="1"/>
  <c r="G18" i="8" s="1"/>
  <c r="F55" i="7"/>
  <c r="G54" i="7" s="1"/>
  <c r="J23" i="7"/>
  <c r="J25" i="7" s="1"/>
  <c r="J16" i="8" s="1"/>
  <c r="J18" i="8" s="1"/>
  <c r="I55" i="7"/>
  <c r="J54" i="7" s="1"/>
  <c r="I23" i="7"/>
  <c r="I25" i="7" s="1"/>
  <c r="I16" i="8" s="1"/>
  <c r="I18" i="8" s="1"/>
  <c r="H55" i="7"/>
  <c r="I54" i="7" s="1"/>
  <c r="E23" i="7"/>
  <c r="E25" i="7" s="1"/>
  <c r="E16" i="8" s="1"/>
  <c r="E18" i="8" s="1"/>
  <c r="D55" i="7"/>
  <c r="E54" i="7" s="1"/>
  <c r="K25" i="7"/>
  <c r="K16" i="8" s="1"/>
  <c r="K18" i="8" s="1"/>
  <c r="D23" i="7"/>
  <c r="D25" i="7" s="1"/>
  <c r="D16" i="8" s="1"/>
  <c r="D18" i="8" s="1"/>
  <c r="C55" i="7"/>
  <c r="D54" i="7" s="1"/>
  <c r="K45" i="4"/>
  <c r="L40" i="10" s="1"/>
  <c r="K32" i="10"/>
  <c r="K31" i="10"/>
  <c r="K38" i="10"/>
  <c r="K36" i="18"/>
  <c r="J41" i="15"/>
  <c r="I19" i="12"/>
  <c r="J30" i="5"/>
  <c r="J18" i="12" s="1"/>
  <c r="K5" i="5"/>
  <c r="K8" i="5"/>
  <c r="C5" i="5"/>
  <c r="D5" i="5"/>
  <c r="D6" i="5" s="1"/>
  <c r="D3" i="6" s="1"/>
  <c r="G5" i="5"/>
  <c r="G6" i="5" s="1"/>
  <c r="G3" i="6" s="1"/>
  <c r="E5" i="5"/>
  <c r="E6" i="5" s="1"/>
  <c r="E3" i="6" s="1"/>
  <c r="F5" i="5"/>
  <c r="F6" i="5" s="1"/>
  <c r="F3" i="6" s="1"/>
  <c r="H5" i="5"/>
  <c r="H6" i="5" s="1"/>
  <c r="H3" i="6" s="1"/>
  <c r="H9" i="6" s="1"/>
  <c r="H11" i="23"/>
  <c r="J24" i="16"/>
  <c r="G11" i="23"/>
  <c r="I24" i="16"/>
  <c r="H33" i="18"/>
  <c r="G45" i="4"/>
  <c r="I33" i="18"/>
  <c r="H45" i="4"/>
  <c r="G38" i="10"/>
  <c r="G32" i="10"/>
  <c r="G36" i="18"/>
  <c r="G31" i="10"/>
  <c r="F36" i="18"/>
  <c r="F38" i="10"/>
  <c r="F32" i="10"/>
  <c r="F31" i="10"/>
  <c r="D38" i="10"/>
  <c r="D32" i="10"/>
  <c r="D36" i="18"/>
  <c r="D31" i="10"/>
  <c r="E36" i="18"/>
  <c r="E32" i="10"/>
  <c r="E38" i="10"/>
  <c r="E31" i="10"/>
  <c r="G13" i="4"/>
  <c r="H52" i="18" s="1"/>
  <c r="F14" i="4"/>
  <c r="F6" i="12" s="1"/>
  <c r="C13" i="7"/>
  <c r="C8" i="8" s="1"/>
  <c r="C10" i="8" s="1"/>
  <c r="C7" i="7"/>
  <c r="C4" i="8" s="1"/>
  <c r="C19" i="7"/>
  <c r="C12" i="8" s="1"/>
  <c r="C14" i="8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I9" i="6" l="1"/>
  <c r="I16" i="12" s="1"/>
  <c r="K23" i="16" s="1"/>
  <c r="D11" i="6"/>
  <c r="D9" i="6"/>
  <c r="F11" i="6"/>
  <c r="F9" i="6"/>
  <c r="F6" i="23" s="1"/>
  <c r="J9" i="6"/>
  <c r="J16" i="12" s="1"/>
  <c r="L23" i="16" s="1"/>
  <c r="G11" i="6"/>
  <c r="G9" i="6"/>
  <c r="G16" i="12" s="1"/>
  <c r="E11" i="6"/>
  <c r="E9" i="6"/>
  <c r="E16" i="12" s="1"/>
  <c r="C15" i="5"/>
  <c r="I15" i="5"/>
  <c r="H31" i="5"/>
  <c r="I30" i="5" s="1"/>
  <c r="I18" i="12" s="1"/>
  <c r="K16" i="5"/>
  <c r="K31" i="5" s="1"/>
  <c r="K19" i="12" s="1"/>
  <c r="F7" i="39"/>
  <c r="F14" i="39" s="1"/>
  <c r="E8" i="12" s="1"/>
  <c r="J14" i="39"/>
  <c r="I8" i="12" s="1"/>
  <c r="I18" i="36" s="1"/>
  <c r="D7" i="39"/>
  <c r="D14" i="39" s="1"/>
  <c r="C8" i="12" s="1"/>
  <c r="K7" i="39"/>
  <c r="K14" i="39" s="1"/>
  <c r="J8" i="12" s="1"/>
  <c r="G7" i="39"/>
  <c r="G14" i="39" s="1"/>
  <c r="F8" i="12" s="1"/>
  <c r="E7" i="39"/>
  <c r="E14" i="39" s="1"/>
  <c r="D8" i="12" s="1"/>
  <c r="H5" i="39"/>
  <c r="H7" i="39" s="1"/>
  <c r="H40" i="10"/>
  <c r="I5" i="39"/>
  <c r="I10" i="39" s="1"/>
  <c r="I12" i="39" s="1"/>
  <c r="I40" i="10"/>
  <c r="C6" i="5"/>
  <c r="C3" i="6" s="1"/>
  <c r="C39" i="10"/>
  <c r="L32" i="10"/>
  <c r="L5" i="39"/>
  <c r="L25" i="7"/>
  <c r="L16" i="8" s="1"/>
  <c r="L18" i="8" s="1"/>
  <c r="F4" i="36"/>
  <c r="F17" i="36"/>
  <c r="F43" i="36"/>
  <c r="F30" i="36"/>
  <c r="K6" i="5"/>
  <c r="K3" i="6" s="1"/>
  <c r="K9" i="6" s="1"/>
  <c r="B11" i="6"/>
  <c r="L36" i="18"/>
  <c r="L38" i="10"/>
  <c r="L31" i="10"/>
  <c r="L41" i="15"/>
  <c r="K41" i="15"/>
  <c r="J19" i="12"/>
  <c r="K30" i="5"/>
  <c r="K18" i="12" s="1"/>
  <c r="H41" i="15"/>
  <c r="G19" i="12"/>
  <c r="H30" i="5"/>
  <c r="H18" i="12" s="1"/>
  <c r="E41" i="15"/>
  <c r="D19" i="12"/>
  <c r="E30" i="5"/>
  <c r="E18" i="12" s="1"/>
  <c r="F30" i="5"/>
  <c r="F18" i="12" s="1"/>
  <c r="F41" i="15"/>
  <c r="E19" i="12"/>
  <c r="G30" i="5"/>
  <c r="G18" i="12" s="1"/>
  <c r="F19" i="12"/>
  <c r="G41" i="15"/>
  <c r="H11" i="6"/>
  <c r="D30" i="5"/>
  <c r="D18" i="12" s="1"/>
  <c r="C19" i="12"/>
  <c r="D41" i="15"/>
  <c r="E24" i="16"/>
  <c r="B11" i="23"/>
  <c r="D24" i="16"/>
  <c r="I36" i="18"/>
  <c r="I38" i="10"/>
  <c r="I32" i="10"/>
  <c r="I31" i="10"/>
  <c r="H38" i="10"/>
  <c r="H32" i="10"/>
  <c r="H36" i="18"/>
  <c r="H31" i="10"/>
  <c r="C6" i="8"/>
  <c r="H13" i="4"/>
  <c r="G14" i="4"/>
  <c r="G6" i="12" s="1"/>
  <c r="D17" i="7"/>
  <c r="C51" i="7"/>
  <c r="D50" i="7" s="1"/>
  <c r="D11" i="7"/>
  <c r="C47" i="7"/>
  <c r="C43" i="7"/>
  <c r="D5" i="7"/>
  <c r="C17" i="3"/>
  <c r="D15" i="3" s="1"/>
  <c r="D17" i="3" s="1"/>
  <c r="E15" i="3" s="1"/>
  <c r="E17" i="3" s="1"/>
  <c r="F15" i="3" s="1"/>
  <c r="F17" i="3" s="1"/>
  <c r="G15" i="3" s="1"/>
  <c r="G17" i="3" s="1"/>
  <c r="H15" i="3" s="1"/>
  <c r="H17" i="3" s="1"/>
  <c r="I15" i="3" s="1"/>
  <c r="I17" i="3" s="1"/>
  <c r="J15" i="3" s="1"/>
  <c r="J17" i="3" s="1"/>
  <c r="K15" i="3" s="1"/>
  <c r="K17" i="3" s="1"/>
  <c r="L15" i="3" s="1"/>
  <c r="L17" i="3" s="1"/>
  <c r="P5" i="3"/>
  <c r="P15" i="3"/>
  <c r="C6" i="3"/>
  <c r="D13" i="6" l="1"/>
  <c r="D17" i="6" s="1"/>
  <c r="D46" i="7"/>
  <c r="J21" i="12"/>
  <c r="J48" i="36" s="1"/>
  <c r="I21" i="12"/>
  <c r="I48" i="36" s="1"/>
  <c r="I41" i="15"/>
  <c r="H19" i="12"/>
  <c r="E6" i="23"/>
  <c r="I44" i="36"/>
  <c r="I31" i="36"/>
  <c r="I5" i="36"/>
  <c r="G13" i="6"/>
  <c r="G17" i="6" s="1"/>
  <c r="G6" i="23"/>
  <c r="I7" i="39"/>
  <c r="I14" i="39" s="1"/>
  <c r="H8" i="12" s="1"/>
  <c r="F13" i="6"/>
  <c r="F17" i="6" s="1"/>
  <c r="F16" i="12"/>
  <c r="F21" i="12" s="1"/>
  <c r="H10" i="39"/>
  <c r="H12" i="39" s="1"/>
  <c r="H14" i="39" s="1"/>
  <c r="G8" i="12" s="1"/>
  <c r="D16" i="12"/>
  <c r="D21" i="12" s="1"/>
  <c r="D6" i="23"/>
  <c r="F31" i="36"/>
  <c r="F5" i="36"/>
  <c r="F44" i="36"/>
  <c r="F18" i="36"/>
  <c r="J31" i="36"/>
  <c r="J5" i="36"/>
  <c r="J44" i="36"/>
  <c r="J18" i="36"/>
  <c r="C31" i="36"/>
  <c r="C44" i="36"/>
  <c r="C18" i="36"/>
  <c r="C5" i="36"/>
  <c r="D44" i="36"/>
  <c r="D18" i="36"/>
  <c r="D31" i="36"/>
  <c r="D5" i="36"/>
  <c r="E44" i="36"/>
  <c r="E18" i="36"/>
  <c r="E31" i="36"/>
  <c r="E5" i="36"/>
  <c r="C11" i="6"/>
  <c r="D14" i="7"/>
  <c r="D13" i="7" s="1"/>
  <c r="D8" i="8" s="1"/>
  <c r="D10" i="8" s="1"/>
  <c r="D20" i="7"/>
  <c r="D8" i="7"/>
  <c r="L10" i="39"/>
  <c r="L12" i="39" s="1"/>
  <c r="L7" i="39"/>
  <c r="E13" i="6"/>
  <c r="E17" i="6" s="1"/>
  <c r="G17" i="36"/>
  <c r="G43" i="36"/>
  <c r="G30" i="36"/>
  <c r="G4" i="36"/>
  <c r="I52" i="18"/>
  <c r="I13" i="4"/>
  <c r="K16" i="12"/>
  <c r="H13" i="6"/>
  <c r="H17" i="6" s="1"/>
  <c r="G21" i="12"/>
  <c r="I23" i="16"/>
  <c r="E21" i="12"/>
  <c r="G23" i="16"/>
  <c r="H6" i="23"/>
  <c r="H16" i="12"/>
  <c r="H14" i="4"/>
  <c r="H6" i="12" s="1"/>
  <c r="D42" i="7"/>
  <c r="P16" i="3"/>
  <c r="P17" i="3" s="1"/>
  <c r="Q15" i="3" s="1"/>
  <c r="D6" i="3"/>
  <c r="C7" i="3"/>
  <c r="P6" i="3"/>
  <c r="P7" i="3" s="1"/>
  <c r="H23" i="16" l="1"/>
  <c r="J9" i="36"/>
  <c r="J22" i="36"/>
  <c r="J35" i="36"/>
  <c r="I22" i="36"/>
  <c r="I9" i="36"/>
  <c r="I35" i="36"/>
  <c r="F23" i="16"/>
  <c r="H44" i="36"/>
  <c r="H18" i="36"/>
  <c r="H31" i="36"/>
  <c r="H5" i="36"/>
  <c r="G5" i="36"/>
  <c r="G44" i="36"/>
  <c r="G18" i="36"/>
  <c r="G31" i="36"/>
  <c r="E5" i="7"/>
  <c r="D43" i="7"/>
  <c r="D7" i="7"/>
  <c r="D4" i="8" s="1"/>
  <c r="D47" i="7"/>
  <c r="E11" i="7"/>
  <c r="E14" i="7" s="1"/>
  <c r="F11" i="7" s="1"/>
  <c r="D51" i="7"/>
  <c r="E50" i="7" s="1"/>
  <c r="E17" i="7"/>
  <c r="D19" i="7"/>
  <c r="D12" i="8" s="1"/>
  <c r="D14" i="8" s="1"/>
  <c r="L14" i="39"/>
  <c r="K8" i="12" s="1"/>
  <c r="H43" i="36"/>
  <c r="H30" i="36"/>
  <c r="H17" i="36"/>
  <c r="D9" i="36"/>
  <c r="D35" i="36"/>
  <c r="D48" i="36"/>
  <c r="D22" i="36"/>
  <c r="G9" i="36"/>
  <c r="G35" i="36"/>
  <c r="G48" i="36"/>
  <c r="G22" i="36"/>
  <c r="E35" i="36"/>
  <c r="E9" i="36"/>
  <c r="E48" i="36"/>
  <c r="E22" i="36"/>
  <c r="F48" i="36"/>
  <c r="F22" i="36"/>
  <c r="F35" i="36"/>
  <c r="F9" i="36"/>
  <c r="H4" i="36"/>
  <c r="M23" i="16"/>
  <c r="K21" i="12"/>
  <c r="J13" i="4"/>
  <c r="J52" i="18"/>
  <c r="I14" i="4"/>
  <c r="I6" i="12" s="1"/>
  <c r="J23" i="16"/>
  <c r="H21" i="12"/>
  <c r="Q16" i="3"/>
  <c r="Q17" i="3" s="1"/>
  <c r="R15" i="3" s="1"/>
  <c r="Q5" i="3"/>
  <c r="E6" i="3"/>
  <c r="D5" i="3"/>
  <c r="E42" i="7" l="1"/>
  <c r="E47" i="7"/>
  <c r="K44" i="36"/>
  <c r="K18" i="36"/>
  <c r="K31" i="36"/>
  <c r="K5" i="36"/>
  <c r="E13" i="7"/>
  <c r="E8" i="8" s="1"/>
  <c r="E10" i="8" s="1"/>
  <c r="E20" i="7"/>
  <c r="E19" i="7" s="1"/>
  <c r="E12" i="8" s="1"/>
  <c r="E14" i="8" s="1"/>
  <c r="D39" i="10"/>
  <c r="D6" i="8"/>
  <c r="E46" i="7"/>
  <c r="E8" i="7"/>
  <c r="F14" i="7"/>
  <c r="I43" i="36"/>
  <c r="I30" i="36"/>
  <c r="I17" i="36"/>
  <c r="H9" i="36"/>
  <c r="H35" i="36"/>
  <c r="H48" i="36"/>
  <c r="H22" i="36"/>
  <c r="K22" i="36"/>
  <c r="K9" i="36"/>
  <c r="K48" i="36"/>
  <c r="K35" i="36"/>
  <c r="I4" i="36"/>
  <c r="K13" i="4"/>
  <c r="K52" i="18"/>
  <c r="J14" i="4"/>
  <c r="J6" i="12" s="1"/>
  <c r="F6" i="3"/>
  <c r="R16" i="3"/>
  <c r="R17" i="3" s="1"/>
  <c r="S15" i="3" s="1"/>
  <c r="D7" i="3"/>
  <c r="Q6" i="3"/>
  <c r="F46" i="7" l="1"/>
  <c r="F17" i="7"/>
  <c r="E51" i="7"/>
  <c r="F50" i="7" s="1"/>
  <c r="E43" i="7"/>
  <c r="F5" i="7"/>
  <c r="E7" i="7"/>
  <c r="E4" i="8" s="1"/>
  <c r="F47" i="7"/>
  <c r="G11" i="7"/>
  <c r="F13" i="7"/>
  <c r="F8" i="8" s="1"/>
  <c r="J17" i="36"/>
  <c r="J43" i="36"/>
  <c r="J30" i="36"/>
  <c r="J4" i="36"/>
  <c r="L52" i="18"/>
  <c r="K14" i="4"/>
  <c r="K6" i="12" s="1"/>
  <c r="S16" i="3"/>
  <c r="S17" i="3" s="1"/>
  <c r="T15" i="3" s="1"/>
  <c r="E5" i="3"/>
  <c r="G6" i="3"/>
  <c r="Q7" i="3"/>
  <c r="F42" i="7" l="1"/>
  <c r="E6" i="8"/>
  <c r="E39" i="10"/>
  <c r="F20" i="7"/>
  <c r="F19" i="7" s="1"/>
  <c r="F12" i="8" s="1"/>
  <c r="F14" i="8" s="1"/>
  <c r="F8" i="7"/>
  <c r="G14" i="7"/>
  <c r="G13" i="7" s="1"/>
  <c r="G8" i="8" s="1"/>
  <c r="G46" i="7"/>
  <c r="F10" i="8"/>
  <c r="K17" i="36"/>
  <c r="K43" i="36"/>
  <c r="K30" i="36"/>
  <c r="K4" i="36"/>
  <c r="T16" i="3"/>
  <c r="T17" i="3" s="1"/>
  <c r="U15" i="3" s="1"/>
  <c r="R5" i="3"/>
  <c r="E7" i="3"/>
  <c r="H6" i="3"/>
  <c r="G17" i="7" l="1"/>
  <c r="F51" i="7"/>
  <c r="F43" i="7"/>
  <c r="G5" i="7"/>
  <c r="F7" i="7"/>
  <c r="F4" i="8" s="1"/>
  <c r="G10" i="8"/>
  <c r="H11" i="7"/>
  <c r="G47" i="7"/>
  <c r="R6" i="3"/>
  <c r="I6" i="3"/>
  <c r="J6" i="3" s="1"/>
  <c r="U16" i="3"/>
  <c r="U17" i="3" s="1"/>
  <c r="V15" i="3" s="1"/>
  <c r="F5" i="3"/>
  <c r="G50" i="7" l="1"/>
  <c r="G42" i="7"/>
  <c r="F39" i="10"/>
  <c r="F6" i="8"/>
  <c r="G20" i="7"/>
  <c r="G19" i="7" s="1"/>
  <c r="G12" i="8" s="1"/>
  <c r="G14" i="8" s="1"/>
  <c r="G8" i="7"/>
  <c r="H14" i="7"/>
  <c r="H46" i="7"/>
  <c r="K6" i="3"/>
  <c r="R7" i="3"/>
  <c r="S5" i="3" s="1"/>
  <c r="V16" i="3"/>
  <c r="V17" i="3" s="1"/>
  <c r="W15" i="3" s="1"/>
  <c r="W16" i="3" s="1"/>
  <c r="W17" i="3" s="1"/>
  <c r="X15" i="3" s="1"/>
  <c r="X16" i="3" s="1"/>
  <c r="X17" i="3" s="1"/>
  <c r="Y15" i="3" s="1"/>
  <c r="F7" i="3"/>
  <c r="Y16" i="3" l="1"/>
  <c r="Y17" i="3" s="1"/>
  <c r="G43" i="7"/>
  <c r="H5" i="7"/>
  <c r="H8" i="7" s="1"/>
  <c r="H17" i="7"/>
  <c r="G51" i="7"/>
  <c r="G7" i="7"/>
  <c r="G4" i="8" s="1"/>
  <c r="I11" i="7"/>
  <c r="H47" i="7"/>
  <c r="H13" i="7"/>
  <c r="H8" i="8" s="1"/>
  <c r="L6" i="3"/>
  <c r="G5" i="3"/>
  <c r="S6" i="3"/>
  <c r="S7" i="3" s="1"/>
  <c r="H50" i="7" l="1"/>
  <c r="H7" i="7"/>
  <c r="H4" i="8" s="1"/>
  <c r="H43" i="7"/>
  <c r="I5" i="7"/>
  <c r="H20" i="7"/>
  <c r="H42" i="7"/>
  <c r="G39" i="10"/>
  <c r="G6" i="8"/>
  <c r="H10" i="8"/>
  <c r="I14" i="7"/>
  <c r="I13" i="7" s="1"/>
  <c r="I8" i="8" s="1"/>
  <c r="I10" i="8" s="1"/>
  <c r="I46" i="7"/>
  <c r="T5" i="3"/>
  <c r="G7" i="3"/>
  <c r="I42" i="7" l="1"/>
  <c r="I8" i="7"/>
  <c r="I7" i="7" s="1"/>
  <c r="I4" i="8" s="1"/>
  <c r="H51" i="7"/>
  <c r="I17" i="7"/>
  <c r="I20" i="7" s="1"/>
  <c r="H19" i="7"/>
  <c r="H12" i="8" s="1"/>
  <c r="H14" i="8" s="1"/>
  <c r="H6" i="8"/>
  <c r="J11" i="7"/>
  <c r="I47" i="7"/>
  <c r="T6" i="3"/>
  <c r="H5" i="3"/>
  <c r="H39" i="10" l="1"/>
  <c r="I50" i="7"/>
  <c r="I19" i="7"/>
  <c r="I12" i="8" s="1"/>
  <c r="I14" i="8" s="1"/>
  <c r="I51" i="7"/>
  <c r="J50" i="7" s="1"/>
  <c r="J17" i="7"/>
  <c r="I6" i="8"/>
  <c r="J5" i="7"/>
  <c r="I43" i="7"/>
  <c r="J46" i="7"/>
  <c r="J14" i="7"/>
  <c r="J13" i="7" s="1"/>
  <c r="J8" i="8" s="1"/>
  <c r="J10" i="8" s="1"/>
  <c r="H7" i="3"/>
  <c r="T7" i="3"/>
  <c r="J42" i="7" l="1"/>
  <c r="J20" i="7"/>
  <c r="J19" i="7" s="1"/>
  <c r="J12" i="8" s="1"/>
  <c r="J14" i="8" s="1"/>
  <c r="J8" i="7"/>
  <c r="I39" i="10"/>
  <c r="J47" i="7"/>
  <c r="K11" i="7"/>
  <c r="I5" i="3"/>
  <c r="U5" i="3"/>
  <c r="K5" i="7" l="1"/>
  <c r="K8" i="7" s="1"/>
  <c r="J43" i="7"/>
  <c r="J7" i="7"/>
  <c r="J4" i="8" s="1"/>
  <c r="K17" i="7"/>
  <c r="J51" i="7"/>
  <c r="K50" i="7" s="1"/>
  <c r="K14" i="7"/>
  <c r="K46" i="7"/>
  <c r="U6" i="3"/>
  <c r="I7" i="3"/>
  <c r="J5" i="3" s="1"/>
  <c r="K42" i="7" l="1"/>
  <c r="J39" i="10"/>
  <c r="J6" i="8"/>
  <c r="K20" i="7"/>
  <c r="K19" i="7" s="1"/>
  <c r="K12" i="8" s="1"/>
  <c r="K14" i="8" s="1"/>
  <c r="K7" i="7"/>
  <c r="K4" i="8" s="1"/>
  <c r="K43" i="7"/>
  <c r="L5" i="7"/>
  <c r="L8" i="7" s="1"/>
  <c r="L43" i="7" s="1"/>
  <c r="K47" i="7"/>
  <c r="L11" i="7"/>
  <c r="K13" i="7"/>
  <c r="K8" i="8" s="1"/>
  <c r="J7" i="3"/>
  <c r="U7" i="3"/>
  <c r="L42" i="7" l="1"/>
  <c r="L7" i="7"/>
  <c r="L4" i="8" s="1"/>
  <c r="L6" i="8" s="1"/>
  <c r="K39" i="10"/>
  <c r="K6" i="8"/>
  <c r="K51" i="7"/>
  <c r="L50" i="7" s="1"/>
  <c r="L17" i="7"/>
  <c r="K10" i="8"/>
  <c r="L14" i="7"/>
  <c r="L47" i="7" s="1"/>
  <c r="L46" i="7"/>
  <c r="K5" i="3"/>
  <c r="V5" i="3"/>
  <c r="L13" i="7" l="1"/>
  <c r="L8" i="8" s="1"/>
  <c r="L10" i="8" s="1"/>
  <c r="L20" i="7"/>
  <c r="L51" i="7" s="1"/>
  <c r="K7" i="3"/>
  <c r="V6" i="3"/>
  <c r="L19" i="7" l="1"/>
  <c r="L12" i="8" s="1"/>
  <c r="L14" i="8" s="1"/>
  <c r="L5" i="3"/>
  <c r="V7" i="3"/>
  <c r="W5" i="3" s="1"/>
  <c r="L39" i="10" l="1"/>
  <c r="W6" i="3"/>
  <c r="L7" i="3"/>
  <c r="E6" i="1"/>
  <c r="W7" i="3" l="1"/>
  <c r="E13" i="1"/>
  <c r="E14" i="1"/>
  <c r="D33" i="15" s="1"/>
  <c r="E33" i="15" s="1"/>
  <c r="F33" i="15" s="1"/>
  <c r="G33" i="15" s="1"/>
  <c r="H33" i="15" s="1"/>
  <c r="I33" i="15" s="1"/>
  <c r="J33" i="15" s="1"/>
  <c r="K33" i="15" s="1"/>
  <c r="L33" i="15" s="1"/>
  <c r="X5" i="3" l="1"/>
  <c r="C11" i="3"/>
  <c r="C12" i="3" s="1"/>
  <c r="P10" i="3"/>
  <c r="C19" i="3"/>
  <c r="C28" i="15" l="1"/>
  <c r="C22" i="10"/>
  <c r="X6" i="3"/>
  <c r="X7" i="3" s="1"/>
  <c r="B8" i="14"/>
  <c r="D23" i="10"/>
  <c r="D10" i="3"/>
  <c r="C21" i="3"/>
  <c r="C30" i="15" s="1"/>
  <c r="D11" i="3"/>
  <c r="C20" i="3"/>
  <c r="P19" i="3"/>
  <c r="P11" i="3"/>
  <c r="D22" i="10" l="1"/>
  <c r="E22" i="10" s="1"/>
  <c r="F22" i="10" s="1"/>
  <c r="G22" i="10" s="1"/>
  <c r="H22" i="10" s="1"/>
  <c r="I22" i="10" s="1"/>
  <c r="J22" i="10" s="1"/>
  <c r="K22" i="10" s="1"/>
  <c r="L22" i="10" s="1"/>
  <c r="C27" i="10"/>
  <c r="B23" i="12" s="1"/>
  <c r="B10" i="36" s="1"/>
  <c r="Y5" i="3"/>
  <c r="C6" i="31"/>
  <c r="C9" i="30"/>
  <c r="C8" i="29"/>
  <c r="C53" i="17"/>
  <c r="C40" i="17"/>
  <c r="C7" i="17"/>
  <c r="D32" i="15"/>
  <c r="C8" i="14"/>
  <c r="B32" i="12"/>
  <c r="C29" i="15"/>
  <c r="E23" i="10"/>
  <c r="D12" i="3"/>
  <c r="D19" i="3"/>
  <c r="D28" i="15" s="1"/>
  <c r="P12" i="3"/>
  <c r="P20" i="3"/>
  <c r="B7" i="14" s="1"/>
  <c r="E11" i="3"/>
  <c r="D20" i="3"/>
  <c r="D27" i="10" l="1"/>
  <c r="C23" i="12" s="1"/>
  <c r="E27" i="10"/>
  <c r="B23" i="36"/>
  <c r="B36" i="17"/>
  <c r="B5" i="23"/>
  <c r="B49" i="36"/>
  <c r="D21" i="16"/>
  <c r="B36" i="36"/>
  <c r="Y6" i="3"/>
  <c r="Y7" i="3" s="1"/>
  <c r="D6" i="31"/>
  <c r="D9" i="30"/>
  <c r="D8" i="29"/>
  <c r="B7" i="29"/>
  <c r="B8" i="30"/>
  <c r="B5" i="31"/>
  <c r="D7" i="17"/>
  <c r="D53" i="17"/>
  <c r="D40" i="17"/>
  <c r="B5" i="17"/>
  <c r="B51" i="17"/>
  <c r="B39" i="17"/>
  <c r="E32" i="15"/>
  <c r="D8" i="14"/>
  <c r="D29" i="15"/>
  <c r="C32" i="12"/>
  <c r="B6" i="14"/>
  <c r="F23" i="10"/>
  <c r="F27" i="10" s="1"/>
  <c r="F11" i="3"/>
  <c r="E20" i="3"/>
  <c r="E10" i="3"/>
  <c r="D21" i="3"/>
  <c r="D30" i="15" s="1"/>
  <c r="Q10" i="3"/>
  <c r="P21" i="3"/>
  <c r="C10" i="36" l="1"/>
  <c r="C23" i="36"/>
  <c r="C49" i="36"/>
  <c r="C36" i="36"/>
  <c r="E21" i="16"/>
  <c r="E6" i="31"/>
  <c r="E9" i="30"/>
  <c r="E8" i="29"/>
  <c r="C8" i="30"/>
  <c r="C5" i="31"/>
  <c r="C7" i="29"/>
  <c r="C36" i="17"/>
  <c r="C5" i="23"/>
  <c r="D23" i="12"/>
  <c r="F32" i="15"/>
  <c r="E53" i="17"/>
  <c r="E40" i="17"/>
  <c r="E7" i="17"/>
  <c r="C39" i="17"/>
  <c r="C5" i="17"/>
  <c r="C51" i="17"/>
  <c r="E8" i="14"/>
  <c r="E29" i="15"/>
  <c r="D32" i="12"/>
  <c r="G23" i="10"/>
  <c r="G27" i="10" s="1"/>
  <c r="C6" i="14"/>
  <c r="Q11" i="3"/>
  <c r="Q20" i="3" s="1"/>
  <c r="C7" i="14" s="1"/>
  <c r="Q19" i="3"/>
  <c r="G11" i="3"/>
  <c r="F20" i="3"/>
  <c r="E12" i="3"/>
  <c r="E19" i="3"/>
  <c r="E28" i="15" s="1"/>
  <c r="D10" i="36" l="1"/>
  <c r="D49" i="36"/>
  <c r="D36" i="36"/>
  <c r="D23" i="36"/>
  <c r="D36" i="17"/>
  <c r="F6" i="31"/>
  <c r="F9" i="30"/>
  <c r="F8" i="29"/>
  <c r="D8" i="30"/>
  <c r="D5" i="31"/>
  <c r="D7" i="29"/>
  <c r="F21" i="16"/>
  <c r="D5" i="23"/>
  <c r="E23" i="12"/>
  <c r="G32" i="15"/>
  <c r="F53" i="17"/>
  <c r="F40" i="17"/>
  <c r="F7" i="17"/>
  <c r="D5" i="17"/>
  <c r="D51" i="17"/>
  <c r="D39" i="17"/>
  <c r="F8" i="14"/>
  <c r="H23" i="10"/>
  <c r="H27" i="10" s="1"/>
  <c r="E32" i="12"/>
  <c r="F29" i="15"/>
  <c r="D6" i="14"/>
  <c r="H11" i="3"/>
  <c r="G20" i="3"/>
  <c r="Q12" i="3"/>
  <c r="F10" i="3"/>
  <c r="E21" i="3"/>
  <c r="E30" i="15" s="1"/>
  <c r="E10" i="36" l="1"/>
  <c r="E49" i="36"/>
  <c r="E36" i="36"/>
  <c r="E23" i="36"/>
  <c r="G21" i="16"/>
  <c r="G6" i="31"/>
  <c r="G9" i="30"/>
  <c r="G8" i="29"/>
  <c r="E8" i="30"/>
  <c r="E5" i="31"/>
  <c r="E7" i="29"/>
  <c r="E36" i="17"/>
  <c r="E5" i="23"/>
  <c r="H32" i="15"/>
  <c r="G53" i="17"/>
  <c r="G40" i="17"/>
  <c r="G7" i="17"/>
  <c r="F23" i="12"/>
  <c r="G23" i="12"/>
  <c r="E5" i="17"/>
  <c r="E51" i="17"/>
  <c r="E39" i="17"/>
  <c r="G8" i="14"/>
  <c r="E6" i="14"/>
  <c r="F32" i="12"/>
  <c r="G29" i="15"/>
  <c r="I23" i="10"/>
  <c r="I11" i="3"/>
  <c r="H20" i="3"/>
  <c r="F12" i="3"/>
  <c r="F19" i="3"/>
  <c r="F28" i="15" s="1"/>
  <c r="R10" i="3"/>
  <c r="Q21" i="3"/>
  <c r="F10" i="36" l="1"/>
  <c r="F49" i="36"/>
  <c r="F36" i="36"/>
  <c r="F23" i="36"/>
  <c r="G10" i="36"/>
  <c r="G23" i="36"/>
  <c r="G49" i="36"/>
  <c r="G36" i="36"/>
  <c r="I20" i="3"/>
  <c r="I29" i="15" s="1"/>
  <c r="J11" i="3"/>
  <c r="J23" i="10"/>
  <c r="I27" i="10"/>
  <c r="H23" i="12" s="1"/>
  <c r="H8" i="29"/>
  <c r="H6" i="31"/>
  <c r="H9" i="30"/>
  <c r="F5" i="31"/>
  <c r="F8" i="30"/>
  <c r="F7" i="29"/>
  <c r="F5" i="23"/>
  <c r="G5" i="23"/>
  <c r="F36" i="17"/>
  <c r="I32" i="15"/>
  <c r="J32" i="15" s="1"/>
  <c r="K32" i="15" s="1"/>
  <c r="L32" i="15" s="1"/>
  <c r="H7" i="17"/>
  <c r="H53" i="17"/>
  <c r="H40" i="17"/>
  <c r="H21" i="16"/>
  <c r="F51" i="17"/>
  <c r="F39" i="17"/>
  <c r="F5" i="17"/>
  <c r="G36" i="17"/>
  <c r="H8" i="14"/>
  <c r="H29" i="15"/>
  <c r="G32" i="12"/>
  <c r="F6" i="14"/>
  <c r="I21" i="16"/>
  <c r="R11" i="3"/>
  <c r="R19" i="3"/>
  <c r="G10" i="3"/>
  <c r="F21" i="3"/>
  <c r="F30" i="15" s="1"/>
  <c r="H10" i="36" l="1"/>
  <c r="H49" i="36"/>
  <c r="H36" i="36"/>
  <c r="H23" i="36"/>
  <c r="H32" i="12"/>
  <c r="H7" i="29" s="1"/>
  <c r="K23" i="10"/>
  <c r="J27" i="10"/>
  <c r="I23" i="12" s="1"/>
  <c r="K11" i="3"/>
  <c r="J20" i="3"/>
  <c r="G5" i="31"/>
  <c r="G8" i="30"/>
  <c r="G7" i="29"/>
  <c r="B20" i="15"/>
  <c r="C6" i="16" s="1"/>
  <c r="C8" i="13"/>
  <c r="G8" i="13" s="1"/>
  <c r="C9" i="13" s="1"/>
  <c r="H5" i="23"/>
  <c r="G39" i="17"/>
  <c r="G5" i="17"/>
  <c r="G51" i="17"/>
  <c r="H36" i="17"/>
  <c r="J21" i="16"/>
  <c r="G6" i="14"/>
  <c r="R12" i="3"/>
  <c r="R20" i="3"/>
  <c r="D7" i="14" s="1"/>
  <c r="G12" i="3"/>
  <c r="G19" i="3"/>
  <c r="G28" i="15" s="1"/>
  <c r="H8" i="30" l="1"/>
  <c r="H39" i="17"/>
  <c r="I10" i="36"/>
  <c r="I49" i="36"/>
  <c r="I36" i="36"/>
  <c r="I23" i="36"/>
  <c r="H6" i="14"/>
  <c r="H5" i="17"/>
  <c r="H5" i="31"/>
  <c r="H51" i="17"/>
  <c r="L11" i="3"/>
  <c r="L20" i="3" s="1"/>
  <c r="K20" i="3"/>
  <c r="K21" i="16"/>
  <c r="I36" i="17"/>
  <c r="I32" i="12"/>
  <c r="J29" i="15"/>
  <c r="L23" i="10"/>
  <c r="L27" i="10" s="1"/>
  <c r="K23" i="12" s="1"/>
  <c r="K27" i="10"/>
  <c r="J23" i="12" s="1"/>
  <c r="D8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D9" i="13"/>
  <c r="G9" i="13"/>
  <c r="C10" i="13" s="1"/>
  <c r="S10" i="3"/>
  <c r="R21" i="3"/>
  <c r="H10" i="3"/>
  <c r="G21" i="3"/>
  <c r="G30" i="15" s="1"/>
  <c r="J10" i="36" l="1"/>
  <c r="J49" i="36"/>
  <c r="J36" i="36"/>
  <c r="J23" i="36"/>
  <c r="K10" i="36"/>
  <c r="K23" i="36"/>
  <c r="K49" i="36"/>
  <c r="K36" i="36"/>
  <c r="I8" i="30"/>
  <c r="I6" i="14"/>
  <c r="I39" i="17"/>
  <c r="I7" i="29"/>
  <c r="I51" i="17"/>
  <c r="L21" i="16"/>
  <c r="J36" i="17"/>
  <c r="J32" i="12"/>
  <c r="K29" i="15"/>
  <c r="K36" i="17"/>
  <c r="M21" i="16"/>
  <c r="L29" i="15"/>
  <c r="K32" i="12"/>
  <c r="G10" i="13"/>
  <c r="C11" i="13" s="1"/>
  <c r="D10" i="13"/>
  <c r="S11" i="3"/>
  <c r="S19" i="3"/>
  <c r="H12" i="3"/>
  <c r="H19" i="3"/>
  <c r="H28" i="15" s="1"/>
  <c r="J51" i="17" l="1"/>
  <c r="J39" i="17"/>
  <c r="J8" i="30"/>
  <c r="J7" i="29"/>
  <c r="J6" i="14"/>
  <c r="K39" i="17"/>
  <c r="K7" i="29"/>
  <c r="K51" i="17"/>
  <c r="K6" i="14"/>
  <c r="K8" i="30"/>
  <c r="D11" i="13"/>
  <c r="G11" i="13"/>
  <c r="C12" i="13" s="1"/>
  <c r="I10" i="3"/>
  <c r="H21" i="3"/>
  <c r="H30" i="15" s="1"/>
  <c r="S12" i="3"/>
  <c r="S20" i="3"/>
  <c r="E7" i="14" s="1"/>
  <c r="G12" i="13" l="1"/>
  <c r="C13" i="13" s="1"/>
  <c r="D12" i="13"/>
  <c r="I12" i="3"/>
  <c r="I19" i="3"/>
  <c r="I28" i="15" s="1"/>
  <c r="T10" i="3"/>
  <c r="S21" i="3"/>
  <c r="I21" i="3" l="1"/>
  <c r="I30" i="15" s="1"/>
  <c r="J10" i="3"/>
  <c r="D13" i="13"/>
  <c r="G13" i="13"/>
  <c r="C14" i="13" s="1"/>
  <c r="T11" i="3"/>
  <c r="T19" i="3"/>
  <c r="J12" i="3" l="1"/>
  <c r="J19" i="3"/>
  <c r="J28" i="15" s="1"/>
  <c r="D14" i="13"/>
  <c r="G14" i="13"/>
  <c r="C15" i="13" s="1"/>
  <c r="T12" i="3"/>
  <c r="T20" i="3"/>
  <c r="F7" i="14" s="1"/>
  <c r="K10" i="3" l="1"/>
  <c r="J21" i="3"/>
  <c r="J30" i="15" s="1"/>
  <c r="D15" i="13"/>
  <c r="G15" i="13"/>
  <c r="C16" i="13" s="1"/>
  <c r="U10" i="3"/>
  <c r="T21" i="3"/>
  <c r="K12" i="3" l="1"/>
  <c r="K19" i="3"/>
  <c r="K28" i="15" s="1"/>
  <c r="D16" i="13"/>
  <c r="G16" i="13"/>
  <c r="C17" i="13" s="1"/>
  <c r="U11" i="3"/>
  <c r="U19" i="3"/>
  <c r="L10" i="3" l="1"/>
  <c r="K21" i="3"/>
  <c r="K30" i="15" s="1"/>
  <c r="D17" i="13"/>
  <c r="G17" i="13"/>
  <c r="C18" i="13" s="1"/>
  <c r="U12" i="3"/>
  <c r="U20" i="3"/>
  <c r="G7" i="14" s="1"/>
  <c r="L12" i="3" l="1"/>
  <c r="L21" i="3" s="1"/>
  <c r="L30" i="15" s="1"/>
  <c r="L19" i="3"/>
  <c r="L28" i="15" s="1"/>
  <c r="D18" i="13"/>
  <c r="G18" i="13"/>
  <c r="C19" i="13" s="1"/>
  <c r="V10" i="3"/>
  <c r="U21" i="3"/>
  <c r="D19" i="13" l="1"/>
  <c r="H19" i="13" s="1"/>
  <c r="G19" i="13"/>
  <c r="B7" i="24" s="1"/>
  <c r="C4" i="24" s="1"/>
  <c r="V11" i="3"/>
  <c r="V19" i="3"/>
  <c r="B5" i="24" l="1"/>
  <c r="C20" i="13"/>
  <c r="V12" i="3"/>
  <c r="V20" i="3"/>
  <c r="H7" i="14" s="1"/>
  <c r="V21" i="3" l="1"/>
  <c r="W10" i="3"/>
  <c r="E20" i="13"/>
  <c r="D20" i="13"/>
  <c r="W11" i="3" l="1"/>
  <c r="W19" i="3"/>
  <c r="F20" i="13"/>
  <c r="G20" i="13"/>
  <c r="C21" i="13" s="1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W12" i="3" l="1"/>
  <c r="W20" i="3"/>
  <c r="I7" i="14" s="1"/>
  <c r="I91" i="13"/>
  <c r="I43" i="13"/>
  <c r="I31" i="13"/>
  <c r="D21" i="13"/>
  <c r="G21" i="13"/>
  <c r="C22" i="13" s="1"/>
  <c r="I55" i="13"/>
  <c r="I67" i="13"/>
  <c r="I79" i="13"/>
  <c r="X10" i="3" l="1"/>
  <c r="W21" i="3"/>
  <c r="H6" i="24"/>
  <c r="G6" i="24"/>
  <c r="E6" i="24"/>
  <c r="D6" i="24"/>
  <c r="F6" i="24"/>
  <c r="C6" i="24"/>
  <c r="C7" i="24" s="1"/>
  <c r="F21" i="13"/>
  <c r="D22" i="13"/>
  <c r="F22" i="13" s="1"/>
  <c r="G22" i="13"/>
  <c r="C23" i="13" s="1"/>
  <c r="X11" i="3" l="1"/>
  <c r="X19" i="3"/>
  <c r="C20" i="15"/>
  <c r="B7" i="33" s="1"/>
  <c r="D4" i="24"/>
  <c r="D7" i="24" s="1"/>
  <c r="G23" i="13"/>
  <c r="C24" i="13" s="1"/>
  <c r="D23" i="13"/>
  <c r="F23" i="13" s="1"/>
  <c r="X12" i="3" l="1"/>
  <c r="X20" i="3"/>
  <c r="J7" i="14" s="1"/>
  <c r="B9" i="33"/>
  <c r="B23" i="33"/>
  <c r="B25" i="33" s="1"/>
  <c r="D25" i="16"/>
  <c r="E4" i="24"/>
  <c r="E7" i="24" s="1"/>
  <c r="D20" i="15"/>
  <c r="D24" i="13"/>
  <c r="G24" i="13"/>
  <c r="C25" i="13" s="1"/>
  <c r="Y10" i="3" l="1"/>
  <c r="X21" i="3"/>
  <c r="E25" i="16"/>
  <c r="C7" i="33"/>
  <c r="F4" i="24"/>
  <c r="F7" i="24" s="1"/>
  <c r="E20" i="15"/>
  <c r="F24" i="13"/>
  <c r="D25" i="13"/>
  <c r="F25" i="13" s="1"/>
  <c r="G25" i="13"/>
  <c r="C26" i="13" s="1"/>
  <c r="Y11" i="3" l="1"/>
  <c r="Y20" i="3" s="1"/>
  <c r="K7" i="14" s="1"/>
  <c r="Y19" i="3"/>
  <c r="F25" i="16"/>
  <c r="D7" i="33"/>
  <c r="C23" i="33"/>
  <c r="C25" i="33" s="1"/>
  <c r="C9" i="33"/>
  <c r="G4" i="24"/>
  <c r="G7" i="24" s="1"/>
  <c r="F20" i="15"/>
  <c r="D26" i="13"/>
  <c r="F26" i="13" s="1"/>
  <c r="G26" i="13"/>
  <c r="C27" i="13" s="1"/>
  <c r="Y12" i="3" l="1"/>
  <c r="Y21" i="3" s="1"/>
  <c r="G25" i="16"/>
  <c r="E7" i="33"/>
  <c r="D9" i="33"/>
  <c r="D23" i="33"/>
  <c r="D25" i="33" s="1"/>
  <c r="H4" i="24"/>
  <c r="G20" i="15"/>
  <c r="G27" i="13"/>
  <c r="C28" i="13" s="1"/>
  <c r="D27" i="13"/>
  <c r="F27" i="13" s="1"/>
  <c r="H25" i="16" l="1"/>
  <c r="F7" i="33"/>
  <c r="E23" i="33"/>
  <c r="E25" i="33" s="1"/>
  <c r="E9" i="33"/>
  <c r="I7" i="24"/>
  <c r="I20" i="15" s="1"/>
  <c r="K25" i="16" s="1"/>
  <c r="H20" i="15"/>
  <c r="D28" i="13"/>
  <c r="F28" i="13" s="1"/>
  <c r="G28" i="13"/>
  <c r="C29" i="13" s="1"/>
  <c r="I25" i="16" l="1"/>
  <c r="G7" i="33"/>
  <c r="F9" i="33"/>
  <c r="F23" i="33"/>
  <c r="F25" i="33" s="1"/>
  <c r="J25" i="16"/>
  <c r="D29" i="13"/>
  <c r="F29" i="13" s="1"/>
  <c r="G29" i="13"/>
  <c r="C30" i="13" s="1"/>
  <c r="G9" i="33" l="1"/>
  <c r="G23" i="33"/>
  <c r="G25" i="33" s="1"/>
  <c r="D30" i="13"/>
  <c r="F30" i="13" s="1"/>
  <c r="G30" i="13"/>
  <c r="C31" i="13" s="1"/>
  <c r="G31" i="13" l="1"/>
  <c r="D31" i="13"/>
  <c r="C32" i="13" l="1"/>
  <c r="F31" i="13"/>
  <c r="H31" i="13"/>
  <c r="C5" i="24" l="1"/>
  <c r="B10" i="31" s="1"/>
  <c r="D32" i="13"/>
  <c r="G32" i="13"/>
  <c r="C33" i="13" s="1"/>
  <c r="B30" i="12" l="1"/>
  <c r="B56" i="17"/>
  <c r="F32" i="13"/>
  <c r="G33" i="13"/>
  <c r="C34" i="13" s="1"/>
  <c r="D33" i="13"/>
  <c r="F33" i="13" s="1"/>
  <c r="D26" i="16" l="1"/>
  <c r="B7" i="31"/>
  <c r="B9" i="31" s="1"/>
  <c r="B37" i="17"/>
  <c r="B52" i="17"/>
  <c r="D34" i="13"/>
  <c r="F34" i="13" s="1"/>
  <c r="G34" i="13"/>
  <c r="C35" i="13" s="1"/>
  <c r="D35" i="13" l="1"/>
  <c r="G35" i="13"/>
  <c r="C36" i="13" s="1"/>
  <c r="F35" i="13" l="1"/>
  <c r="D36" i="13"/>
  <c r="F36" i="13" s="1"/>
  <c r="G36" i="13"/>
  <c r="C37" i="13" s="1"/>
  <c r="G37" i="13" l="1"/>
  <c r="C38" i="13" s="1"/>
  <c r="D37" i="13"/>
  <c r="F37" i="13" s="1"/>
  <c r="D38" i="13" l="1"/>
  <c r="G38" i="13"/>
  <c r="C39" i="13" s="1"/>
  <c r="F38" i="13" l="1"/>
  <c r="D39" i="13"/>
  <c r="F39" i="13" s="1"/>
  <c r="G39" i="13"/>
  <c r="C40" i="13" s="1"/>
  <c r="D40" i="13" l="1"/>
  <c r="F40" i="13" s="1"/>
  <c r="G40" i="13"/>
  <c r="C41" i="13" s="1"/>
  <c r="G41" i="13" l="1"/>
  <c r="C42" i="13" s="1"/>
  <c r="D41" i="13"/>
  <c r="F41" i="13" s="1"/>
  <c r="D42" i="13" l="1"/>
  <c r="F42" i="13" s="1"/>
  <c r="G42" i="13"/>
  <c r="C43" i="13" s="1"/>
  <c r="D43" i="13" l="1"/>
  <c r="G43" i="13"/>
  <c r="F43" i="13" l="1"/>
  <c r="H43" i="13"/>
  <c r="C44" i="13"/>
  <c r="D5" i="24" l="1"/>
  <c r="C10" i="31" s="1"/>
  <c r="D44" i="13"/>
  <c r="G44" i="13"/>
  <c r="C45" i="13" s="1"/>
  <c r="C30" i="12" l="1"/>
  <c r="C56" i="17"/>
  <c r="F44" i="13"/>
  <c r="D45" i="13"/>
  <c r="F45" i="13" s="1"/>
  <c r="G45" i="13"/>
  <c r="C46" i="13" s="1"/>
  <c r="E26" i="16" l="1"/>
  <c r="C7" i="31"/>
  <c r="C9" i="31" s="1"/>
  <c r="C52" i="17"/>
  <c r="C37" i="17"/>
  <c r="D46" i="13"/>
  <c r="F46" i="13" s="1"/>
  <c r="G46" i="13"/>
  <c r="C47" i="13" s="1"/>
  <c r="G47" i="13" l="1"/>
  <c r="C48" i="13" s="1"/>
  <c r="D47" i="13"/>
  <c r="D48" i="13" l="1"/>
  <c r="F48" i="13" s="1"/>
  <c r="G48" i="13"/>
  <c r="C49" i="13" s="1"/>
  <c r="F47" i="13"/>
  <c r="D49" i="13" l="1"/>
  <c r="F49" i="13" s="1"/>
  <c r="G49" i="13"/>
  <c r="C50" i="13" s="1"/>
  <c r="D50" i="13" l="1"/>
  <c r="G50" i="13"/>
  <c r="C51" i="13" s="1"/>
  <c r="G51" i="13" l="1"/>
  <c r="C52" i="13" s="1"/>
  <c r="D51" i="13"/>
  <c r="F51" i="13" s="1"/>
  <c r="F50" i="13"/>
  <c r="D52" i="13" l="1"/>
  <c r="F52" i="13" s="1"/>
  <c r="G52" i="13"/>
  <c r="C53" i="13" s="1"/>
  <c r="D53" i="13" l="1"/>
  <c r="F53" i="13" s="1"/>
  <c r="G53" i="13"/>
  <c r="C54" i="13" s="1"/>
  <c r="D54" i="13" l="1"/>
  <c r="F54" i="13" s="1"/>
  <c r="G54" i="13"/>
  <c r="C55" i="13" s="1"/>
  <c r="G55" i="13" l="1"/>
  <c r="D55" i="13"/>
  <c r="F55" i="13" l="1"/>
  <c r="H55" i="13"/>
  <c r="C56" i="13"/>
  <c r="E5" i="24" l="1"/>
  <c r="D10" i="31" s="1"/>
  <c r="D56" i="13"/>
  <c r="G56" i="13"/>
  <c r="C57" i="13" s="1"/>
  <c r="D30" i="12" l="1"/>
  <c r="D56" i="17"/>
  <c r="F56" i="13"/>
  <c r="G57" i="13"/>
  <c r="C58" i="13" s="1"/>
  <c r="D57" i="13"/>
  <c r="F57" i="13" s="1"/>
  <c r="F26" i="16" l="1"/>
  <c r="D7" i="31"/>
  <c r="D9" i="31" s="1"/>
  <c r="D52" i="17"/>
  <c r="D37" i="17"/>
  <c r="D58" i="13"/>
  <c r="G58" i="13"/>
  <c r="C59" i="13" s="1"/>
  <c r="F58" i="13" l="1"/>
  <c r="D59" i="13"/>
  <c r="F59" i="13" s="1"/>
  <c r="G59" i="13"/>
  <c r="C60" i="13" s="1"/>
  <c r="D60" i="13" l="1"/>
  <c r="F60" i="13" s="1"/>
  <c r="G60" i="13"/>
  <c r="C61" i="13" s="1"/>
  <c r="G61" i="13" l="1"/>
  <c r="C62" i="13" s="1"/>
  <c r="D61" i="13"/>
  <c r="F61" i="13" s="1"/>
  <c r="D62" i="13" l="1"/>
  <c r="G62" i="13"/>
  <c r="C63" i="13" s="1"/>
  <c r="F62" i="13" l="1"/>
  <c r="D63" i="13"/>
  <c r="F63" i="13" s="1"/>
  <c r="G63" i="13"/>
  <c r="C64" i="13" s="1"/>
  <c r="D64" i="13" l="1"/>
  <c r="F64" i="13" s="1"/>
  <c r="G64" i="13"/>
  <c r="C65" i="13" s="1"/>
  <c r="G65" i="13" l="1"/>
  <c r="C66" i="13" s="1"/>
  <c r="D65" i="13"/>
  <c r="F65" i="13" s="1"/>
  <c r="D66" i="13" l="1"/>
  <c r="F66" i="13" s="1"/>
  <c r="G66" i="13"/>
  <c r="C67" i="13" s="1"/>
  <c r="D67" i="13" l="1"/>
  <c r="G67" i="13"/>
  <c r="F67" i="13" l="1"/>
  <c r="H67" i="13"/>
  <c r="C68" i="13"/>
  <c r="F5" i="24" l="1"/>
  <c r="E10" i="31" s="1"/>
  <c r="D68" i="13"/>
  <c r="G68" i="13"/>
  <c r="C69" i="13" s="1"/>
  <c r="E30" i="12" l="1"/>
  <c r="E56" i="17"/>
  <c r="F68" i="13"/>
  <c r="D69" i="13"/>
  <c r="F69" i="13" s="1"/>
  <c r="G69" i="13"/>
  <c r="C70" i="13" s="1"/>
  <c r="G26" i="16" l="1"/>
  <c r="E7" i="31"/>
  <c r="E9" i="31" s="1"/>
  <c r="E37" i="17"/>
  <c r="E52" i="17"/>
  <c r="D70" i="13"/>
  <c r="F70" i="13" s="1"/>
  <c r="G70" i="13"/>
  <c r="C71" i="13" s="1"/>
  <c r="G71" i="13" l="1"/>
  <c r="C72" i="13" s="1"/>
  <c r="D71" i="13"/>
  <c r="F71" i="13" s="1"/>
  <c r="D72" i="13" l="1"/>
  <c r="F72" i="13" s="1"/>
  <c r="G72" i="13"/>
  <c r="C73" i="13" s="1"/>
  <c r="D73" i="13" l="1"/>
  <c r="G73" i="13"/>
  <c r="C74" i="13" s="1"/>
  <c r="F73" i="13" l="1"/>
  <c r="D74" i="13"/>
  <c r="F74" i="13" s="1"/>
  <c r="G74" i="13"/>
  <c r="C75" i="13" s="1"/>
  <c r="G75" i="13" l="1"/>
  <c r="C76" i="13" s="1"/>
  <c r="D75" i="13"/>
  <c r="F75" i="13" s="1"/>
  <c r="D76" i="13" l="1"/>
  <c r="F76" i="13" s="1"/>
  <c r="G76" i="13"/>
  <c r="C77" i="13" s="1"/>
  <c r="D77" i="13" l="1"/>
  <c r="F77" i="13" s="1"/>
  <c r="G77" i="13"/>
  <c r="C78" i="13" s="1"/>
  <c r="D78" i="13" l="1"/>
  <c r="F78" i="13" s="1"/>
  <c r="G78" i="13"/>
  <c r="C79" i="13" s="1"/>
  <c r="G79" i="13" l="1"/>
  <c r="D79" i="13"/>
  <c r="C80" i="13" l="1"/>
  <c r="F79" i="13"/>
  <c r="H79" i="13"/>
  <c r="G5" i="24" l="1"/>
  <c r="F10" i="31" s="1"/>
  <c r="D80" i="13"/>
  <c r="G80" i="13"/>
  <c r="C81" i="13" s="1"/>
  <c r="F30" i="12" l="1"/>
  <c r="F56" i="17"/>
  <c r="F80" i="13"/>
  <c r="G81" i="13"/>
  <c r="C82" i="13" s="1"/>
  <c r="D81" i="13"/>
  <c r="F81" i="13" s="1"/>
  <c r="H26" i="16" l="1"/>
  <c r="F7" i="31"/>
  <c r="F9" i="31" s="1"/>
  <c r="F37" i="17"/>
  <c r="F52" i="17"/>
  <c r="D82" i="13"/>
  <c r="G82" i="13"/>
  <c r="C83" i="13" s="1"/>
  <c r="F82" i="13" l="1"/>
  <c r="D83" i="13"/>
  <c r="F83" i="13" s="1"/>
  <c r="G83" i="13"/>
  <c r="C84" i="13" s="1"/>
  <c r="G84" i="13" l="1"/>
  <c r="C85" i="13" s="1"/>
  <c r="D84" i="13"/>
  <c r="F84" i="13" s="1"/>
  <c r="G85" i="13" l="1"/>
  <c r="C86" i="13" s="1"/>
  <c r="D85" i="13"/>
  <c r="G86" i="13" l="1"/>
  <c r="C87" i="13" s="1"/>
  <c r="D86" i="13"/>
  <c r="F86" i="13" s="1"/>
  <c r="F85" i="13"/>
  <c r="D87" i="13" l="1"/>
  <c r="G87" i="13"/>
  <c r="C88" i="13" s="1"/>
  <c r="F87" i="13" l="1"/>
  <c r="D88" i="13"/>
  <c r="F88" i="13" s="1"/>
  <c r="G88" i="13"/>
  <c r="C89" i="13" s="1"/>
  <c r="G89" i="13" l="1"/>
  <c r="C90" i="13" s="1"/>
  <c r="D89" i="13"/>
  <c r="F89" i="13" s="1"/>
  <c r="G90" i="13" l="1"/>
  <c r="C91" i="13" s="1"/>
  <c r="D90" i="13"/>
  <c r="F90" i="13" s="1"/>
  <c r="D91" i="13" l="1"/>
  <c r="G91" i="13"/>
  <c r="F91" i="13" l="1"/>
  <c r="H91" i="13"/>
  <c r="H5" i="24" l="1"/>
  <c r="G10" i="31" s="1"/>
  <c r="H37" i="17"/>
  <c r="H52" i="17"/>
  <c r="G30" i="12" l="1"/>
  <c r="G56" i="17"/>
  <c r="I26" i="16" l="1"/>
  <c r="G7" i="31"/>
  <c r="G9" i="31" s="1"/>
  <c r="G37" i="17"/>
  <c r="G52" i="17"/>
  <c r="B23" i="9" l="1"/>
  <c r="C35" i="10" l="1"/>
  <c r="C23" i="9"/>
  <c r="D35" i="10" l="1"/>
  <c r="D30" i="10"/>
  <c r="D23" i="9"/>
  <c r="E35" i="10" l="1"/>
  <c r="E30" i="10"/>
  <c r="E23" i="9"/>
  <c r="D42" i="10"/>
  <c r="C25" i="12" s="1"/>
  <c r="C50" i="36" l="1"/>
  <c r="C37" i="36"/>
  <c r="C24" i="36"/>
  <c r="F35" i="10"/>
  <c r="F30" i="10"/>
  <c r="F23" i="9"/>
  <c r="C4" i="23"/>
  <c r="C8" i="23" s="1"/>
  <c r="E22" i="16"/>
  <c r="C11" i="36"/>
  <c r="E42" i="10"/>
  <c r="D25" i="12" s="1"/>
  <c r="E22" i="15" s="1"/>
  <c r="F42" i="10" l="1"/>
  <c r="E25" i="12" s="1"/>
  <c r="F22" i="15" s="1"/>
  <c r="D50" i="36"/>
  <c r="D51" i="36" s="1"/>
  <c r="D37" i="36"/>
  <c r="D38" i="36" s="1"/>
  <c r="D24" i="36"/>
  <c r="D25" i="36" s="1"/>
  <c r="G35" i="10"/>
  <c r="G23" i="9"/>
  <c r="G30" i="10"/>
  <c r="D11" i="36"/>
  <c r="D12" i="36" s="1"/>
  <c r="D4" i="23"/>
  <c r="D8" i="23" s="1"/>
  <c r="D4" i="35"/>
  <c r="F22" i="16"/>
  <c r="E4" i="23" l="1"/>
  <c r="E8" i="23" s="1"/>
  <c r="G22" i="16"/>
  <c r="E4" i="35"/>
  <c r="E37" i="36"/>
  <c r="E38" i="36" s="1"/>
  <c r="E50" i="36"/>
  <c r="E51" i="36" s="1"/>
  <c r="E11" i="36"/>
  <c r="E12" i="36" s="1"/>
  <c r="E24" i="36"/>
  <c r="E25" i="36" s="1"/>
  <c r="G42" i="10"/>
  <c r="F25" i="12" s="1"/>
  <c r="G22" i="15" s="1"/>
  <c r="G10" i="16"/>
  <c r="F6" i="11"/>
  <c r="E6" i="11"/>
  <c r="H35" i="10"/>
  <c r="H30" i="10"/>
  <c r="H23" i="9"/>
  <c r="F4" i="35" l="1"/>
  <c r="F4" i="23"/>
  <c r="F8" i="23" s="1"/>
  <c r="F50" i="36"/>
  <c r="F51" i="36" s="1"/>
  <c r="H42" i="10"/>
  <c r="G25" i="12" s="1"/>
  <c r="H22" i="15" s="1"/>
  <c r="H22" i="16"/>
  <c r="F24" i="36"/>
  <c r="F25" i="36" s="1"/>
  <c r="F11" i="36"/>
  <c r="F12" i="36" s="1"/>
  <c r="F37" i="36"/>
  <c r="F38" i="36" s="1"/>
  <c r="I35" i="10"/>
  <c r="I30" i="10"/>
  <c r="I23" i="9"/>
  <c r="H10" i="16"/>
  <c r="G6" i="11"/>
  <c r="I22" i="16" l="1"/>
  <c r="G11" i="36"/>
  <c r="G12" i="36" s="1"/>
  <c r="G37" i="36"/>
  <c r="G38" i="36" s="1"/>
  <c r="G4" i="35"/>
  <c r="G50" i="36"/>
  <c r="G51" i="36" s="1"/>
  <c r="G4" i="23"/>
  <c r="G8" i="23" s="1"/>
  <c r="G24" i="36"/>
  <c r="G25" i="36" s="1"/>
  <c r="I42" i="10"/>
  <c r="H25" i="12" s="1"/>
  <c r="I22" i="15" s="1"/>
  <c r="J35" i="10"/>
  <c r="J23" i="9"/>
  <c r="J30" i="10"/>
  <c r="I10" i="16"/>
  <c r="H6" i="11"/>
  <c r="H4" i="23" l="1"/>
  <c r="H8" i="23" s="1"/>
  <c r="J22" i="16"/>
  <c r="H37" i="36"/>
  <c r="H38" i="36" s="1"/>
  <c r="H50" i="36"/>
  <c r="H51" i="36" s="1"/>
  <c r="H11" i="36"/>
  <c r="H12" i="36" s="1"/>
  <c r="H24" i="36"/>
  <c r="H25" i="36" s="1"/>
  <c r="J42" i="10"/>
  <c r="I25" i="12" s="1"/>
  <c r="J22" i="15" s="1"/>
  <c r="J10" i="16"/>
  <c r="I6" i="11"/>
  <c r="K35" i="10"/>
  <c r="K30" i="10"/>
  <c r="K23" i="9"/>
  <c r="K42" i="10" l="1"/>
  <c r="J25" i="12" s="1"/>
  <c r="K22" i="15" s="1"/>
  <c r="I24" i="36"/>
  <c r="I25" i="36" s="1"/>
  <c r="I50" i="36"/>
  <c r="I51" i="36" s="1"/>
  <c r="I37" i="36"/>
  <c r="I38" i="36" s="1"/>
  <c r="I11" i="36"/>
  <c r="I12" i="36" s="1"/>
  <c r="K22" i="16"/>
  <c r="L35" i="10"/>
  <c r="L30" i="10"/>
  <c r="J11" i="36" l="1"/>
  <c r="J12" i="36" s="1"/>
  <c r="J37" i="36"/>
  <c r="J38" i="36" s="1"/>
  <c r="J50" i="36"/>
  <c r="J51" i="36" s="1"/>
  <c r="J24" i="36"/>
  <c r="J25" i="36" s="1"/>
  <c r="L22" i="16"/>
  <c r="L42" i="10"/>
  <c r="K25" i="12" s="1"/>
  <c r="L22" i="15" s="1"/>
  <c r="L10" i="16"/>
  <c r="K6" i="11"/>
  <c r="K10" i="16"/>
  <c r="J6" i="11"/>
  <c r="K50" i="36" l="1"/>
  <c r="K51" i="36" s="1"/>
  <c r="K37" i="36"/>
  <c r="K38" i="36" s="1"/>
  <c r="K24" i="36"/>
  <c r="K25" i="36" s="1"/>
  <c r="K11" i="36"/>
  <c r="K12" i="36" s="1"/>
  <c r="M22" i="16"/>
  <c r="M10" i="16" l="1"/>
  <c r="L6" i="11"/>
  <c r="B18" i="4" l="1"/>
  <c r="B17" i="38" s="1"/>
  <c r="B21" i="5" l="1"/>
  <c r="B34" i="4"/>
  <c r="C64" i="7" s="1"/>
  <c r="B37" i="4"/>
  <c r="C82" i="7" s="1"/>
  <c r="B36" i="4"/>
  <c r="C76" i="7" s="1"/>
  <c r="B38" i="4"/>
  <c r="C88" i="7" s="1"/>
  <c r="B35" i="4"/>
  <c r="C70" i="7" s="1"/>
  <c r="B43" i="4"/>
  <c r="C84" i="7" l="1"/>
  <c r="C83" i="7" s="1"/>
  <c r="C37" i="8" s="1"/>
  <c r="C39" i="8" s="1"/>
  <c r="C78" i="7"/>
  <c r="C77" i="7" s="1"/>
  <c r="C33" i="8" s="1"/>
  <c r="C35" i="8" s="1"/>
  <c r="C72" i="7"/>
  <c r="C71" i="7" s="1"/>
  <c r="C29" i="8" s="1"/>
  <c r="C31" i="8" s="1"/>
  <c r="C66" i="7"/>
  <c r="C65" i="7" s="1"/>
  <c r="C25" i="8" s="1"/>
  <c r="C27" i="8" s="1"/>
  <c r="C34" i="18"/>
  <c r="B45" i="4"/>
  <c r="C90" i="7"/>
  <c r="C89" i="7" s="1"/>
  <c r="C41" i="8" s="1"/>
  <c r="C43" i="8" s="1"/>
  <c r="B22" i="5"/>
  <c r="B20" i="5" s="1"/>
  <c r="B6" i="6" s="1"/>
  <c r="B9" i="6" s="1"/>
  <c r="C45" i="8" l="1"/>
  <c r="B5" i="12" s="1"/>
  <c r="B16" i="36" s="1"/>
  <c r="C109" i="7"/>
  <c r="D108" i="7" s="1"/>
  <c r="D75" i="7"/>
  <c r="B16" i="12"/>
  <c r="D23" i="16" s="1"/>
  <c r="B6" i="23"/>
  <c r="B13" i="6"/>
  <c r="B17" i="6" s="1"/>
  <c r="C117" i="7"/>
  <c r="D116" i="7" s="1"/>
  <c r="D87" i="7"/>
  <c r="D89" i="7" s="1"/>
  <c r="D41" i="8" s="1"/>
  <c r="D43" i="8" s="1"/>
  <c r="D63" i="7"/>
  <c r="C101" i="7"/>
  <c r="C31" i="10"/>
  <c r="C40" i="10"/>
  <c r="C38" i="10"/>
  <c r="C36" i="18"/>
  <c r="C32" i="10"/>
  <c r="C5" i="39"/>
  <c r="C30" i="10"/>
  <c r="B28" i="5"/>
  <c r="C19" i="5"/>
  <c r="C20" i="5" s="1"/>
  <c r="C6" i="6" s="1"/>
  <c r="C9" i="6" s="1"/>
  <c r="D69" i="7"/>
  <c r="C105" i="7"/>
  <c r="D104" i="7" s="1"/>
  <c r="C113" i="7"/>
  <c r="D112" i="7" s="1"/>
  <c r="D81" i="7"/>
  <c r="D83" i="7" s="1"/>
  <c r="D37" i="8" s="1"/>
  <c r="D39" i="8" s="1"/>
  <c r="B42" i="36" l="1"/>
  <c r="B3" i="36"/>
  <c r="B29" i="36"/>
  <c r="D72" i="7"/>
  <c r="D71" i="7" s="1"/>
  <c r="D29" i="8" s="1"/>
  <c r="D31" i="8" s="1"/>
  <c r="D78" i="7"/>
  <c r="D77" i="7" s="1"/>
  <c r="D33" i="8" s="1"/>
  <c r="D35" i="8" s="1"/>
  <c r="C10" i="39"/>
  <c r="C12" i="39" s="1"/>
  <c r="C7" i="39"/>
  <c r="C27" i="5"/>
  <c r="B31" i="5"/>
  <c r="D100" i="7"/>
  <c r="D122" i="7" s="1"/>
  <c r="C11" i="12" s="1"/>
  <c r="C123" i="7"/>
  <c r="C16" i="12"/>
  <c r="C13" i="6"/>
  <c r="C17" i="6" s="1"/>
  <c r="C6" i="23"/>
  <c r="C42" i="10"/>
  <c r="B25" i="12" s="1"/>
  <c r="D66" i="7"/>
  <c r="B19" i="12" l="1"/>
  <c r="B21" i="12" s="1"/>
  <c r="C41" i="15"/>
  <c r="C30" i="5"/>
  <c r="C18" i="12" s="1"/>
  <c r="C21" i="12" s="1"/>
  <c r="E23" i="16"/>
  <c r="D22" i="15"/>
  <c r="E75" i="7"/>
  <c r="D109" i="7"/>
  <c r="E108" i="7" s="1"/>
  <c r="D101" i="7"/>
  <c r="E63" i="7"/>
  <c r="E66" i="7" s="1"/>
  <c r="C22" i="15"/>
  <c r="B50" i="36"/>
  <c r="B24" i="36"/>
  <c r="D22" i="16"/>
  <c r="B4" i="23"/>
  <c r="B8" i="23" s="1"/>
  <c r="B11" i="36"/>
  <c r="B37" i="36"/>
  <c r="B9" i="23"/>
  <c r="C40" i="15"/>
  <c r="B12" i="12"/>
  <c r="C14" i="39"/>
  <c r="B8" i="12" s="1"/>
  <c r="D65" i="7"/>
  <c r="D25" i="8" s="1"/>
  <c r="D27" i="8" s="1"/>
  <c r="D45" i="8" s="1"/>
  <c r="C5" i="12" s="1"/>
  <c r="E69" i="7"/>
  <c r="D105" i="7"/>
  <c r="E104" i="7" s="1"/>
  <c r="B12" i="23" l="1"/>
  <c r="B14" i="23" s="1"/>
  <c r="B16" i="23" s="1"/>
  <c r="C9" i="36"/>
  <c r="C12" i="36" s="1"/>
  <c r="C48" i="36"/>
  <c r="C51" i="36" s="1"/>
  <c r="C22" i="36"/>
  <c r="C25" i="36" s="1"/>
  <c r="C35" i="36"/>
  <c r="C38" i="36" s="1"/>
  <c r="C4" i="35"/>
  <c r="C43" i="15"/>
  <c r="C5" i="11"/>
  <c r="C6" i="11"/>
  <c r="D10" i="16"/>
  <c r="E78" i="7"/>
  <c r="E77" i="7" s="1"/>
  <c r="E33" i="8" s="1"/>
  <c r="E35" i="8" s="1"/>
  <c r="C42" i="36"/>
  <c r="C29" i="36"/>
  <c r="C3" i="36"/>
  <c r="C9" i="12"/>
  <c r="C16" i="36"/>
  <c r="E65" i="7"/>
  <c r="E25" i="8" s="1"/>
  <c r="E27" i="8" s="1"/>
  <c r="E101" i="7"/>
  <c r="F63" i="7"/>
  <c r="F66" i="7" s="1"/>
  <c r="E10" i="16"/>
  <c r="D6" i="11"/>
  <c r="F10" i="16"/>
  <c r="B6" i="36"/>
  <c r="B32" i="36"/>
  <c r="B45" i="36"/>
  <c r="B19" i="36"/>
  <c r="E72" i="7"/>
  <c r="E71" i="7" s="1"/>
  <c r="E29" i="8" s="1"/>
  <c r="E31" i="8" s="1"/>
  <c r="B31" i="36"/>
  <c r="B5" i="36"/>
  <c r="B18" i="36"/>
  <c r="B44" i="36"/>
  <c r="B9" i="12"/>
  <c r="E100" i="7"/>
  <c r="E122" i="7" s="1"/>
  <c r="D11" i="12" s="1"/>
  <c r="D123" i="7"/>
  <c r="B9" i="36"/>
  <c r="B12" i="36" s="1"/>
  <c r="B35" i="36"/>
  <c r="B38" i="36" s="1"/>
  <c r="B48" i="36"/>
  <c r="B51" i="36" s="1"/>
  <c r="B22" i="36"/>
  <c r="B25" i="36" s="1"/>
  <c r="B4" i="35"/>
  <c r="B20" i="36" l="1"/>
  <c r="B26" i="36" s="1"/>
  <c r="F100" i="7"/>
  <c r="B7" i="36"/>
  <c r="B13" i="36" s="1"/>
  <c r="E5" i="16"/>
  <c r="D36" i="15"/>
  <c r="C2" i="35"/>
  <c r="C5" i="35" s="1"/>
  <c r="C12" i="12"/>
  <c r="C14" i="12" s="1"/>
  <c r="C9" i="23"/>
  <c r="C12" i="23" s="1"/>
  <c r="C14" i="23" s="1"/>
  <c r="C16" i="23" s="1"/>
  <c r="D40" i="15"/>
  <c r="B46" i="36"/>
  <c r="B52" i="36" s="1"/>
  <c r="E45" i="8"/>
  <c r="D5" i="12" s="1"/>
  <c r="F75" i="7"/>
  <c r="E109" i="7"/>
  <c r="F108" i="7" s="1"/>
  <c r="F65" i="7"/>
  <c r="F25" i="8" s="1"/>
  <c r="F27" i="8" s="1"/>
  <c r="F101" i="7"/>
  <c r="G63" i="7"/>
  <c r="C36" i="15"/>
  <c r="D5" i="16"/>
  <c r="B2" i="35"/>
  <c r="B5" i="35" s="1"/>
  <c r="B14" i="12"/>
  <c r="F69" i="7"/>
  <c r="E105" i="7"/>
  <c r="F104" i="7" s="1"/>
  <c r="B33" i="36"/>
  <c r="B39" i="36" s="1"/>
  <c r="F72" i="7" l="1"/>
  <c r="F71" i="7" s="1"/>
  <c r="F29" i="8" s="1"/>
  <c r="F31" i="8" s="1"/>
  <c r="D43" i="15"/>
  <c r="D5" i="11"/>
  <c r="C3" i="35"/>
  <c r="C29" i="12"/>
  <c r="G100" i="7"/>
  <c r="B3" i="35"/>
  <c r="B29" i="12"/>
  <c r="D4" i="11"/>
  <c r="E28" i="16"/>
  <c r="F122" i="7"/>
  <c r="E11" i="12" s="1"/>
  <c r="D28" i="16"/>
  <c r="C4" i="11"/>
  <c r="F78" i="7"/>
  <c r="F77" i="7" s="1"/>
  <c r="F33" i="8" s="1"/>
  <c r="F35" i="8" s="1"/>
  <c r="G66" i="7"/>
  <c r="G65" i="7" s="1"/>
  <c r="G25" i="8" s="1"/>
  <c r="G27" i="8" s="1"/>
  <c r="D16" i="36"/>
  <c r="D42" i="36"/>
  <c r="D9" i="12"/>
  <c r="D29" i="36"/>
  <c r="D3" i="36"/>
  <c r="C45" i="36"/>
  <c r="C46" i="36" s="1"/>
  <c r="C52" i="36" s="1"/>
  <c r="C19" i="36"/>
  <c r="C20" i="36" s="1"/>
  <c r="C26" i="36" s="1"/>
  <c r="C32" i="36"/>
  <c r="C33" i="36" s="1"/>
  <c r="C39" i="36" s="1"/>
  <c r="C6" i="36"/>
  <c r="C7" i="36" s="1"/>
  <c r="C13" i="36" s="1"/>
  <c r="E123" i="7"/>
  <c r="F45" i="8" l="1"/>
  <c r="E5" i="12" s="1"/>
  <c r="C11" i="11"/>
  <c r="C8" i="11"/>
  <c r="H63" i="7"/>
  <c r="G101" i="7"/>
  <c r="B6" i="35"/>
  <c r="D11" i="11"/>
  <c r="D8" i="11"/>
  <c r="E36" i="15"/>
  <c r="D2" i="35"/>
  <c r="D5" i="35" s="1"/>
  <c r="F5" i="16"/>
  <c r="D12" i="12"/>
  <c r="D14" i="12" s="1"/>
  <c r="E40" i="15"/>
  <c r="D9" i="23"/>
  <c r="D12" i="23" s="1"/>
  <c r="D14" i="23" s="1"/>
  <c r="D16" i="23" s="1"/>
  <c r="C6" i="35"/>
  <c r="G75" i="7"/>
  <c r="F109" i="7"/>
  <c r="G108" i="7" s="1"/>
  <c r="G69" i="7"/>
  <c r="F105" i="7"/>
  <c r="G78" i="7" l="1"/>
  <c r="G77" i="7" s="1"/>
  <c r="G33" i="8" s="1"/>
  <c r="G35" i="8" s="1"/>
  <c r="G104" i="7"/>
  <c r="G122" i="7" s="1"/>
  <c r="F11" i="12" s="1"/>
  <c r="F123" i="7"/>
  <c r="D45" i="36"/>
  <c r="D46" i="36" s="1"/>
  <c r="D52" i="36" s="1"/>
  <c r="D6" i="36"/>
  <c r="D7" i="36" s="1"/>
  <c r="D13" i="36" s="1"/>
  <c r="D32" i="36"/>
  <c r="D33" i="36" s="1"/>
  <c r="D39" i="36" s="1"/>
  <c r="D19" i="36"/>
  <c r="D20" i="36" s="1"/>
  <c r="D26" i="36" s="1"/>
  <c r="E4" i="11"/>
  <c r="F28" i="16"/>
  <c r="H66" i="7"/>
  <c r="H65" i="7" s="1"/>
  <c r="H25" i="8" s="1"/>
  <c r="H27" i="8" s="1"/>
  <c r="G72" i="7"/>
  <c r="G71" i="7" s="1"/>
  <c r="G29" i="8" s="1"/>
  <c r="G31" i="8" s="1"/>
  <c r="D13" i="11"/>
  <c r="D15" i="11" s="1"/>
  <c r="C13" i="11"/>
  <c r="C15" i="11" s="1"/>
  <c r="E5" i="11"/>
  <c r="E43" i="15"/>
  <c r="D3" i="35"/>
  <c r="D29" i="12"/>
  <c r="H100" i="7"/>
  <c r="E16" i="36"/>
  <c r="E3" i="36"/>
  <c r="E42" i="36"/>
  <c r="E29" i="36"/>
  <c r="E9" i="12"/>
  <c r="G45" i="8" l="1"/>
  <c r="F5" i="12" s="1"/>
  <c r="B31" i="12"/>
  <c r="C21" i="15"/>
  <c r="D8" i="16" s="1"/>
  <c r="D12" i="16" s="1"/>
  <c r="H101" i="7"/>
  <c r="I63" i="7"/>
  <c r="C31" i="12"/>
  <c r="D21" i="15"/>
  <c r="E12" i="12"/>
  <c r="E14" i="12" s="1"/>
  <c r="F40" i="15"/>
  <c r="E9" i="23"/>
  <c r="E12" i="23" s="1"/>
  <c r="E14" i="23" s="1"/>
  <c r="E16" i="23" s="1"/>
  <c r="D6" i="35"/>
  <c r="F36" i="15"/>
  <c r="G5" i="16"/>
  <c r="E2" i="35"/>
  <c r="E5" i="35" s="1"/>
  <c r="E15" i="1"/>
  <c r="E17" i="1" s="1"/>
  <c r="B13" i="2"/>
  <c r="H69" i="7"/>
  <c r="G105" i="7"/>
  <c r="E11" i="11"/>
  <c r="E8" i="11"/>
  <c r="H75" i="7"/>
  <c r="G109" i="7"/>
  <c r="H108" i="7" s="1"/>
  <c r="E8" i="16" l="1"/>
  <c r="E12" i="16" s="1"/>
  <c r="E3" i="35"/>
  <c r="E29" i="12"/>
  <c r="E13" i="11"/>
  <c r="E15" i="11" s="1"/>
  <c r="E27" i="16"/>
  <c r="C38" i="17"/>
  <c r="C30" i="17" s="1"/>
  <c r="C34" i="12"/>
  <c r="H104" i="7"/>
  <c r="H122" i="7" s="1"/>
  <c r="G11" i="12" s="1"/>
  <c r="G123" i="7"/>
  <c r="G28" i="16"/>
  <c r="F4" i="11"/>
  <c r="F43" i="15"/>
  <c r="F5" i="11"/>
  <c r="I66" i="7"/>
  <c r="I65" i="7" s="1"/>
  <c r="I25" i="8" s="1"/>
  <c r="I27" i="8" s="1"/>
  <c r="D27" i="16"/>
  <c r="B38" i="17"/>
  <c r="B30" i="17" s="1"/>
  <c r="B34" i="12"/>
  <c r="B15" i="2"/>
  <c r="C13" i="2" s="1"/>
  <c r="C49" i="20"/>
  <c r="E13" i="2"/>
  <c r="E15" i="2" s="1"/>
  <c r="H78" i="7"/>
  <c r="H77" i="7" s="1"/>
  <c r="H33" i="8" s="1"/>
  <c r="H35" i="8" s="1"/>
  <c r="H72" i="7"/>
  <c r="H71" i="7" s="1"/>
  <c r="H29" i="8" s="1"/>
  <c r="H31" i="8" s="1"/>
  <c r="E6" i="36"/>
  <c r="E7" i="36" s="1"/>
  <c r="E13" i="36" s="1"/>
  <c r="E32" i="36"/>
  <c r="E33" i="36" s="1"/>
  <c r="E39" i="36" s="1"/>
  <c r="E19" i="36"/>
  <c r="E20" i="36" s="1"/>
  <c r="E26" i="36" s="1"/>
  <c r="E45" i="36"/>
  <c r="E46" i="36" s="1"/>
  <c r="E52" i="36" s="1"/>
  <c r="I100" i="7"/>
  <c r="F9" i="12"/>
  <c r="F42" i="36"/>
  <c r="F16" i="36"/>
  <c r="F29" i="36"/>
  <c r="F3" i="36"/>
  <c r="I75" i="7" l="1"/>
  <c r="H109" i="7"/>
  <c r="I108" i="7" s="1"/>
  <c r="C15" i="2"/>
  <c r="C8" i="2"/>
  <c r="B16" i="29"/>
  <c r="C5" i="2"/>
  <c r="C10" i="2"/>
  <c r="C6" i="2"/>
  <c r="C7" i="2"/>
  <c r="B19" i="30"/>
  <c r="C9" i="2"/>
  <c r="B23" i="2"/>
  <c r="C12" i="2"/>
  <c r="C11" i="2"/>
  <c r="B20" i="2"/>
  <c r="B19" i="2" s="1"/>
  <c r="B20" i="17"/>
  <c r="F8" i="11"/>
  <c r="F11" i="11"/>
  <c r="C5" i="14"/>
  <c r="C9" i="14" s="1"/>
  <c r="C7" i="35"/>
  <c r="D31" i="12"/>
  <c r="E21" i="15"/>
  <c r="F8" i="16" s="1"/>
  <c r="F12" i="16" s="1"/>
  <c r="H45" i="8"/>
  <c r="G5" i="12" s="1"/>
  <c r="B5" i="14"/>
  <c r="B9" i="14" s="1"/>
  <c r="B7" i="35"/>
  <c r="I101" i="7"/>
  <c r="J63" i="7"/>
  <c r="E6" i="35"/>
  <c r="G36" i="15"/>
  <c r="F2" i="35"/>
  <c r="F5" i="35" s="1"/>
  <c r="H5" i="16"/>
  <c r="I69" i="7"/>
  <c r="H105" i="7"/>
  <c r="G40" i="15"/>
  <c r="F9" i="23"/>
  <c r="F12" i="23" s="1"/>
  <c r="F14" i="23" s="1"/>
  <c r="F16" i="23" s="1"/>
  <c r="F12" i="12"/>
  <c r="F14" i="12" s="1"/>
  <c r="G9" i="12" l="1"/>
  <c r="G3" i="36"/>
  <c r="G42" i="36"/>
  <c r="G29" i="36"/>
  <c r="G16" i="36"/>
  <c r="C19" i="2"/>
  <c r="B7" i="15"/>
  <c r="C7" i="15"/>
  <c r="I78" i="7"/>
  <c r="I77" i="7" s="1"/>
  <c r="I33" i="8" s="1"/>
  <c r="I35" i="8" s="1"/>
  <c r="I104" i="7"/>
  <c r="I122" i="7" s="1"/>
  <c r="H11" i="12" s="1"/>
  <c r="H123" i="7"/>
  <c r="B20" i="28"/>
  <c r="A24" i="28" s="1"/>
  <c r="B26" i="29"/>
  <c r="B23" i="30"/>
  <c r="C23" i="2"/>
  <c r="C21" i="2"/>
  <c r="B13" i="34"/>
  <c r="O16" i="34" s="1"/>
  <c r="B9" i="34"/>
  <c r="M16" i="34" s="1"/>
  <c r="G43" i="15"/>
  <c r="G5" i="11"/>
  <c r="F6" i="36"/>
  <c r="F7" i="36" s="1"/>
  <c r="F13" i="36" s="1"/>
  <c r="F19" i="36"/>
  <c r="F20" i="36" s="1"/>
  <c r="F26" i="36" s="1"/>
  <c r="F32" i="36"/>
  <c r="F33" i="36" s="1"/>
  <c r="F39" i="36" s="1"/>
  <c r="F45" i="36"/>
  <c r="F46" i="36" s="1"/>
  <c r="F52" i="36" s="1"/>
  <c r="I72" i="7"/>
  <c r="I71" i="7" s="1"/>
  <c r="I29" i="8" s="1"/>
  <c r="I31" i="8" s="1"/>
  <c r="H28" i="16"/>
  <c r="G4" i="11"/>
  <c r="F13" i="11"/>
  <c r="F15" i="11" s="1"/>
  <c r="C20" i="2"/>
  <c r="B13" i="15"/>
  <c r="F3" i="35"/>
  <c r="F29" i="12"/>
  <c r="J100" i="7"/>
  <c r="J66" i="7"/>
  <c r="J65" i="7" s="1"/>
  <c r="J25" i="8" s="1"/>
  <c r="J27" i="8" s="1"/>
  <c r="B11" i="14"/>
  <c r="C10" i="14" s="1"/>
  <c r="C11" i="14" s="1"/>
  <c r="D10" i="14" s="1"/>
  <c r="F27" i="16"/>
  <c r="D38" i="17"/>
  <c r="D30" i="17" s="1"/>
  <c r="D34" i="12"/>
  <c r="B12" i="14" l="1"/>
  <c r="B13" i="14" s="1"/>
  <c r="B35" i="12" s="1"/>
  <c r="D30" i="16" s="1"/>
  <c r="D32" i="16" s="1"/>
  <c r="D33" i="16" s="1"/>
  <c r="I45" i="8"/>
  <c r="H5" i="12" s="1"/>
  <c r="H9" i="12" s="1"/>
  <c r="C13" i="15"/>
  <c r="D13" i="15" s="1"/>
  <c r="C9" i="16"/>
  <c r="D7" i="15"/>
  <c r="C9" i="15"/>
  <c r="B13" i="33" s="1"/>
  <c r="B29" i="33" s="1"/>
  <c r="C7" i="16"/>
  <c r="B9" i="15"/>
  <c r="D5" i="14"/>
  <c r="D9" i="14" s="1"/>
  <c r="D7" i="35"/>
  <c r="C12" i="14"/>
  <c r="C13" i="14" s="1"/>
  <c r="C35" i="12" s="1"/>
  <c r="G8" i="11"/>
  <c r="G11" i="11"/>
  <c r="H40" i="15"/>
  <c r="G12" i="12"/>
  <c r="G14" i="12" s="1"/>
  <c r="G9" i="23"/>
  <c r="G12" i="23" s="1"/>
  <c r="G14" i="23" s="1"/>
  <c r="G16" i="23" s="1"/>
  <c r="F6" i="35"/>
  <c r="E31" i="12"/>
  <c r="F21" i="15"/>
  <c r="G8" i="16" s="1"/>
  <c r="G12" i="16" s="1"/>
  <c r="K63" i="7"/>
  <c r="J101" i="7"/>
  <c r="J69" i="7"/>
  <c r="I105" i="7"/>
  <c r="J75" i="7"/>
  <c r="I109" i="7"/>
  <c r="J108" i="7" s="1"/>
  <c r="H36" i="15"/>
  <c r="G2" i="35"/>
  <c r="G5" i="35" s="1"/>
  <c r="I5" i="16"/>
  <c r="H29" i="36" l="1"/>
  <c r="H42" i="36"/>
  <c r="B36" i="12"/>
  <c r="B50" i="17" s="1"/>
  <c r="B55" i="17" s="1"/>
  <c r="B58" i="17" s="1"/>
  <c r="B60" i="17" s="1"/>
  <c r="H16" i="36"/>
  <c r="H3" i="36"/>
  <c r="G45" i="36"/>
  <c r="G46" i="36" s="1"/>
  <c r="G52" i="36" s="1"/>
  <c r="G19" i="36"/>
  <c r="G20" i="36" s="1"/>
  <c r="G26" i="36" s="1"/>
  <c r="G32" i="36"/>
  <c r="G33" i="36" s="1"/>
  <c r="G39" i="36" s="1"/>
  <c r="G6" i="36"/>
  <c r="G7" i="36" s="1"/>
  <c r="G13" i="36" s="1"/>
  <c r="D11" i="14"/>
  <c r="E10" i="14" s="1"/>
  <c r="J78" i="7"/>
  <c r="J77" i="7" s="1"/>
  <c r="J33" i="8" s="1"/>
  <c r="J35" i="8" s="1"/>
  <c r="K66" i="7"/>
  <c r="K65" i="7" s="1"/>
  <c r="K25" i="8" s="1"/>
  <c r="K27" i="8" s="1"/>
  <c r="H5" i="11"/>
  <c r="H43" i="15"/>
  <c r="E13" i="15"/>
  <c r="G3" i="35"/>
  <c r="G29" i="12"/>
  <c r="J104" i="7"/>
  <c r="J122" i="7" s="1"/>
  <c r="I11" i="12" s="1"/>
  <c r="I123" i="7"/>
  <c r="G13" i="11"/>
  <c r="G15" i="11" s="1"/>
  <c r="J5" i="16"/>
  <c r="I36" i="15"/>
  <c r="C12" i="16"/>
  <c r="C33" i="16" s="1"/>
  <c r="C35" i="16" s="1"/>
  <c r="E7" i="15"/>
  <c r="D9" i="15"/>
  <c r="C13" i="33" s="1"/>
  <c r="C29" i="33" s="1"/>
  <c r="K100" i="7"/>
  <c r="C36" i="12"/>
  <c r="E30" i="16"/>
  <c r="E32" i="16" s="1"/>
  <c r="E33" i="16" s="1"/>
  <c r="H4" i="11"/>
  <c r="I28" i="16"/>
  <c r="J72" i="7"/>
  <c r="J71" i="7" s="1"/>
  <c r="J29" i="8" s="1"/>
  <c r="J31" i="8" s="1"/>
  <c r="E38" i="17"/>
  <c r="E30" i="17" s="1"/>
  <c r="G27" i="16"/>
  <c r="E34" i="12"/>
  <c r="B41" i="12" l="1"/>
  <c r="B8" i="35"/>
  <c r="B3" i="17"/>
  <c r="B11" i="17" s="1"/>
  <c r="B15" i="17" s="1"/>
  <c r="B5" i="29"/>
  <c r="B10" i="29" s="1"/>
  <c r="B13" i="29" s="1"/>
  <c r="D4" i="26"/>
  <c r="D5" i="26" s="1"/>
  <c r="D12" i="26" s="1"/>
  <c r="B12" i="28" s="1"/>
  <c r="B13" i="28" s="1"/>
  <c r="B29" i="17"/>
  <c r="B33" i="17" s="1"/>
  <c r="B42" i="17" s="1"/>
  <c r="C18" i="15"/>
  <c r="C19" i="15" s="1"/>
  <c r="B30" i="33" s="1"/>
  <c r="B32" i="33" s="1"/>
  <c r="B34" i="33" s="1"/>
  <c r="B6" i="34"/>
  <c r="B4" i="31"/>
  <c r="B12" i="31" s="1"/>
  <c r="B16" i="31" s="1"/>
  <c r="B6" i="30"/>
  <c r="B11" i="30" s="1"/>
  <c r="B15" i="30" s="1"/>
  <c r="D12" i="14"/>
  <c r="D13" i="14" s="1"/>
  <c r="D35" i="12" s="1"/>
  <c r="D36" i="12" s="1"/>
  <c r="G21" i="15"/>
  <c r="H8" i="16" s="1"/>
  <c r="H12" i="16" s="1"/>
  <c r="F31" i="12"/>
  <c r="I4" i="11"/>
  <c r="J28" i="16"/>
  <c r="G6" i="35"/>
  <c r="J45" i="8"/>
  <c r="I5" i="12" s="1"/>
  <c r="I40" i="15"/>
  <c r="H9" i="23"/>
  <c r="H12" i="23" s="1"/>
  <c r="H14" i="23" s="1"/>
  <c r="H16" i="23" s="1"/>
  <c r="H12" i="12"/>
  <c r="K75" i="7"/>
  <c r="J109" i="7"/>
  <c r="K108" i="7" s="1"/>
  <c r="H8" i="11"/>
  <c r="H11" i="11"/>
  <c r="K69" i="7"/>
  <c r="J105" i="7"/>
  <c r="C29" i="17"/>
  <c r="C33" i="17" s="1"/>
  <c r="C42" i="17" s="1"/>
  <c r="C6" i="30"/>
  <c r="C11" i="30" s="1"/>
  <c r="C15" i="30" s="1"/>
  <c r="C50" i="17"/>
  <c r="C55" i="17" s="1"/>
  <c r="C58" i="17" s="1"/>
  <c r="C6" i="34"/>
  <c r="D18" i="15"/>
  <c r="C8" i="35"/>
  <c r="C3" i="17"/>
  <c r="C11" i="17" s="1"/>
  <c r="C15" i="17" s="1"/>
  <c r="E4" i="26"/>
  <c r="E5" i="26" s="1"/>
  <c r="C4" i="31"/>
  <c r="C5" i="29"/>
  <c r="C10" i="29" s="1"/>
  <c r="C41" i="12"/>
  <c r="E9" i="15"/>
  <c r="D13" i="33" s="1"/>
  <c r="D29" i="33" s="1"/>
  <c r="F7" i="15"/>
  <c r="E7" i="35"/>
  <c r="E5" i="14"/>
  <c r="E9" i="14" s="1"/>
  <c r="E11" i="14" s="1"/>
  <c r="F10" i="14" s="1"/>
  <c r="D34" i="16"/>
  <c r="D35" i="16" s="1"/>
  <c r="B47" i="15"/>
  <c r="F13" i="15"/>
  <c r="K101" i="7"/>
  <c r="L63" i="7"/>
  <c r="D16" i="15" l="1"/>
  <c r="B14" i="33"/>
  <c r="B16" i="33" s="1"/>
  <c r="B18" i="33" s="1"/>
  <c r="B23" i="29"/>
  <c r="D13" i="26"/>
  <c r="B9" i="28" s="1"/>
  <c r="B10" i="28" s="1"/>
  <c r="B16" i="28" s="1"/>
  <c r="B14" i="31"/>
  <c r="B17" i="31" s="1"/>
  <c r="F30" i="16"/>
  <c r="F32" i="16" s="1"/>
  <c r="F33" i="16" s="1"/>
  <c r="L66" i="7"/>
  <c r="L101" i="7" s="1"/>
  <c r="B50" i="15"/>
  <c r="B52" i="15" s="1"/>
  <c r="C37" i="16"/>
  <c r="C39" i="16" s="1"/>
  <c r="E12" i="14"/>
  <c r="E13" i="14" s="1"/>
  <c r="E35" i="12" s="1"/>
  <c r="E12" i="26"/>
  <c r="C12" i="28" s="1"/>
  <c r="C13" i="28" s="1"/>
  <c r="E13" i="26"/>
  <c r="C9" i="28" s="1"/>
  <c r="C10" i="28" s="1"/>
  <c r="K104" i="7"/>
  <c r="K122" i="7" s="1"/>
  <c r="J11" i="12" s="1"/>
  <c r="J123" i="7"/>
  <c r="I43" i="15"/>
  <c r="I5" i="11"/>
  <c r="I8" i="11" s="1"/>
  <c r="C14" i="31"/>
  <c r="C12" i="31"/>
  <c r="L100" i="7"/>
  <c r="E34" i="16"/>
  <c r="E35" i="16" s="1"/>
  <c r="C47" i="15"/>
  <c r="F9" i="15"/>
  <c r="E13" i="33" s="1"/>
  <c r="E29" i="33" s="1"/>
  <c r="G7" i="15"/>
  <c r="D41" i="12"/>
  <c r="K72" i="7"/>
  <c r="K78" i="7"/>
  <c r="K77" i="7" s="1"/>
  <c r="K33" i="8" s="1"/>
  <c r="K35" i="8" s="1"/>
  <c r="I3" i="36"/>
  <c r="I29" i="36"/>
  <c r="I9" i="12"/>
  <c r="I42" i="36"/>
  <c r="I16" i="36"/>
  <c r="H27" i="16"/>
  <c r="F38" i="17"/>
  <c r="F30" i="17" s="1"/>
  <c r="F34" i="12"/>
  <c r="G13" i="15"/>
  <c r="H13" i="15" s="1"/>
  <c r="I13" i="15" s="1"/>
  <c r="J13" i="15" s="1"/>
  <c r="K13" i="15" s="1"/>
  <c r="L13" i="15" s="1"/>
  <c r="D19" i="15"/>
  <c r="D29" i="17"/>
  <c r="D33" i="17" s="1"/>
  <c r="D42" i="17" s="1"/>
  <c r="D6" i="34"/>
  <c r="D4" i="31"/>
  <c r="E18" i="15"/>
  <c r="D3" i="17"/>
  <c r="D11" i="17" s="1"/>
  <c r="D8" i="35"/>
  <c r="D6" i="30"/>
  <c r="D11" i="30" s="1"/>
  <c r="D15" i="30" s="1"/>
  <c r="D50" i="17"/>
  <c r="D55" i="17" s="1"/>
  <c r="D58" i="17" s="1"/>
  <c r="D5" i="29"/>
  <c r="D10" i="29" s="1"/>
  <c r="F4" i="26"/>
  <c r="F5" i="26" s="1"/>
  <c r="C13" i="29"/>
  <c r="C23" i="29"/>
  <c r="H13" i="11"/>
  <c r="H15" i="11" s="1"/>
  <c r="H19" i="36"/>
  <c r="H20" i="36" s="1"/>
  <c r="H26" i="36" s="1"/>
  <c r="H6" i="36"/>
  <c r="H7" i="36" s="1"/>
  <c r="H13" i="36" s="1"/>
  <c r="H32" i="36"/>
  <c r="H33" i="36" s="1"/>
  <c r="H39" i="36" s="1"/>
  <c r="H45" i="36"/>
  <c r="H46" i="36" s="1"/>
  <c r="H52" i="36" s="1"/>
  <c r="H14" i="12"/>
  <c r="H29" i="12" s="1"/>
  <c r="I11" i="11" l="1"/>
  <c r="I13" i="11" s="1"/>
  <c r="I15" i="11" s="1"/>
  <c r="F13" i="26"/>
  <c r="D9" i="28" s="1"/>
  <c r="D10" i="28" s="1"/>
  <c r="F12" i="26"/>
  <c r="D12" i="28" s="1"/>
  <c r="D13" i="28" s="1"/>
  <c r="C50" i="15"/>
  <c r="C52" i="15" s="1"/>
  <c r="D37" i="16"/>
  <c r="D39" i="16" s="1"/>
  <c r="J40" i="15"/>
  <c r="I12" i="12"/>
  <c r="D14" i="31"/>
  <c r="D12" i="31"/>
  <c r="B18" i="28"/>
  <c r="B24" i="28"/>
  <c r="D23" i="29"/>
  <c r="D13" i="29"/>
  <c r="D15" i="17"/>
  <c r="J36" i="15"/>
  <c r="K5" i="16"/>
  <c r="L75" i="7"/>
  <c r="L78" i="7" s="1"/>
  <c r="K109" i="7"/>
  <c r="L108" i="7" s="1"/>
  <c r="G9" i="15"/>
  <c r="F13" i="33" s="1"/>
  <c r="F29" i="33" s="1"/>
  <c r="H7" i="15"/>
  <c r="F34" i="16"/>
  <c r="F35" i="16" s="1"/>
  <c r="D47" i="15"/>
  <c r="G30" i="16"/>
  <c r="G32" i="16" s="1"/>
  <c r="G33" i="16" s="1"/>
  <c r="E36" i="12"/>
  <c r="E41" i="12" s="1"/>
  <c r="L65" i="7"/>
  <c r="L25" i="8" s="1"/>
  <c r="L27" i="8" s="1"/>
  <c r="G31" i="12"/>
  <c r="H21" i="15"/>
  <c r="I8" i="16" s="1"/>
  <c r="I12" i="16" s="1"/>
  <c r="L69" i="7"/>
  <c r="L72" i="7" s="1"/>
  <c r="K105" i="7"/>
  <c r="C30" i="33"/>
  <c r="C32" i="33" s="1"/>
  <c r="C34" i="33" s="1"/>
  <c r="E16" i="15"/>
  <c r="E19" i="15" s="1"/>
  <c r="C14" i="33"/>
  <c r="C16" i="33" s="1"/>
  <c r="C18" i="33" s="1"/>
  <c r="F7" i="35"/>
  <c r="F5" i="14"/>
  <c r="F9" i="14" s="1"/>
  <c r="K71" i="7"/>
  <c r="K29" i="8" s="1"/>
  <c r="K31" i="8" s="1"/>
  <c r="K45" i="8" s="1"/>
  <c r="J5" i="12" s="1"/>
  <c r="C16" i="28"/>
  <c r="D16" i="28" l="1"/>
  <c r="D18" i="28" s="1"/>
  <c r="I21" i="15"/>
  <c r="J8" i="16" s="1"/>
  <c r="J12" i="16" s="1"/>
  <c r="H31" i="12"/>
  <c r="D50" i="15"/>
  <c r="D52" i="15" s="1"/>
  <c r="E37" i="16"/>
  <c r="E39" i="16" s="1"/>
  <c r="J4" i="11"/>
  <c r="K28" i="16"/>
  <c r="L104" i="7"/>
  <c r="L122" i="7" s="1"/>
  <c r="K11" i="12" s="1"/>
  <c r="K123" i="7"/>
  <c r="G34" i="16"/>
  <c r="G35" i="16" s="1"/>
  <c r="E47" i="15"/>
  <c r="L77" i="7"/>
  <c r="L33" i="8" s="1"/>
  <c r="L35" i="8" s="1"/>
  <c r="L109" i="7"/>
  <c r="J5" i="11"/>
  <c r="J43" i="15"/>
  <c r="I27" i="16"/>
  <c r="G38" i="17"/>
  <c r="G30" i="17" s="1"/>
  <c r="G34" i="12"/>
  <c r="I19" i="36"/>
  <c r="I20" i="36" s="1"/>
  <c r="I26" i="36" s="1"/>
  <c r="I45" i="36"/>
  <c r="I46" i="36" s="1"/>
  <c r="I52" i="36" s="1"/>
  <c r="I32" i="36"/>
  <c r="I33" i="36" s="1"/>
  <c r="I39" i="36" s="1"/>
  <c r="I6" i="36"/>
  <c r="I7" i="36" s="1"/>
  <c r="I13" i="36" s="1"/>
  <c r="C24" i="28"/>
  <c r="C18" i="28"/>
  <c r="F11" i="14"/>
  <c r="G10" i="14" s="1"/>
  <c r="F16" i="15"/>
  <c r="D30" i="33"/>
  <c r="D32" i="33" s="1"/>
  <c r="D34" i="33" s="1"/>
  <c r="D14" i="33"/>
  <c r="D16" i="33" s="1"/>
  <c r="D18" i="33" s="1"/>
  <c r="L71" i="7"/>
  <c r="L29" i="8" s="1"/>
  <c r="L31" i="8" s="1"/>
  <c r="L105" i="7"/>
  <c r="E8" i="35"/>
  <c r="E50" i="17"/>
  <c r="E55" i="17" s="1"/>
  <c r="E58" i="17" s="1"/>
  <c r="E6" i="34"/>
  <c r="G4" i="26"/>
  <c r="G5" i="26" s="1"/>
  <c r="F18" i="15"/>
  <c r="E5" i="29"/>
  <c r="E10" i="29" s="1"/>
  <c r="E4" i="31"/>
  <c r="E29" i="17"/>
  <c r="E33" i="17" s="1"/>
  <c r="E42" i="17" s="1"/>
  <c r="E6" i="30"/>
  <c r="E11" i="30" s="1"/>
  <c r="E15" i="30" s="1"/>
  <c r="E3" i="17"/>
  <c r="E11" i="17" s="1"/>
  <c r="I7" i="15"/>
  <c r="H9" i="15"/>
  <c r="G13" i="33" s="1"/>
  <c r="G29" i="33" s="1"/>
  <c r="I14" i="12"/>
  <c r="I29" i="12" s="1"/>
  <c r="J9" i="12"/>
  <c r="J42" i="36"/>
  <c r="J29" i="36"/>
  <c r="J16" i="36"/>
  <c r="J3" i="36"/>
  <c r="O17" i="34" l="1"/>
  <c r="O18" i="34" s="1"/>
  <c r="L123" i="7"/>
  <c r="K12" i="12" s="1"/>
  <c r="F12" i="14"/>
  <c r="F13" i="14" s="1"/>
  <c r="F35" i="12" s="1"/>
  <c r="H30" i="16" s="1"/>
  <c r="H32" i="16" s="1"/>
  <c r="H33" i="16" s="1"/>
  <c r="D24" i="28"/>
  <c r="F19" i="15"/>
  <c r="E14" i="33" s="1"/>
  <c r="E16" i="33" s="1"/>
  <c r="E18" i="33" s="1"/>
  <c r="L45" i="8"/>
  <c r="K5" i="12" s="1"/>
  <c r="K16" i="36" s="1"/>
  <c r="F47" i="15"/>
  <c r="H34" i="16"/>
  <c r="I9" i="15"/>
  <c r="J7" i="15"/>
  <c r="G13" i="26"/>
  <c r="E9" i="28" s="1"/>
  <c r="E10" i="28" s="1"/>
  <c r="G12" i="26"/>
  <c r="E12" i="28" s="1"/>
  <c r="E13" i="28" s="1"/>
  <c r="J12" i="12"/>
  <c r="J14" i="12" s="1"/>
  <c r="J29" i="12" s="1"/>
  <c r="K40" i="15"/>
  <c r="H38" i="17"/>
  <c r="H30" i="17" s="1"/>
  <c r="J27" i="16"/>
  <c r="H34" i="12"/>
  <c r="K36" i="15"/>
  <c r="L5" i="16"/>
  <c r="E14" i="31"/>
  <c r="E12" i="31"/>
  <c r="G7" i="35"/>
  <c r="G5" i="14"/>
  <c r="G9" i="14" s="1"/>
  <c r="E50" i="15"/>
  <c r="E52" i="15" s="1"/>
  <c r="F37" i="16"/>
  <c r="F39" i="16" s="1"/>
  <c r="J8" i="11"/>
  <c r="J11" i="11"/>
  <c r="E15" i="17"/>
  <c r="E23" i="29"/>
  <c r="E13" i="29"/>
  <c r="F36" i="12" l="1"/>
  <c r="H4" i="26" s="1"/>
  <c r="H5" i="26" s="1"/>
  <c r="L40" i="15"/>
  <c r="G16" i="15"/>
  <c r="K29" i="36"/>
  <c r="E16" i="28"/>
  <c r="E18" i="28" s="1"/>
  <c r="H35" i="16"/>
  <c r="I34" i="16" s="1"/>
  <c r="K3" i="36"/>
  <c r="E30" i="33"/>
  <c r="E32" i="33" s="1"/>
  <c r="E34" i="33" s="1"/>
  <c r="K42" i="36"/>
  <c r="K9" i="12"/>
  <c r="K14" i="12" s="1"/>
  <c r="K29" i="12" s="1"/>
  <c r="K5" i="11"/>
  <c r="K43" i="15"/>
  <c r="J13" i="11"/>
  <c r="J15" i="11" s="1"/>
  <c r="H5" i="14"/>
  <c r="H9" i="14" s="1"/>
  <c r="J45" i="36"/>
  <c r="J46" i="36" s="1"/>
  <c r="J52" i="36" s="1"/>
  <c r="J19" i="36"/>
  <c r="J20" i="36" s="1"/>
  <c r="J26" i="36" s="1"/>
  <c r="J6" i="36"/>
  <c r="J7" i="36" s="1"/>
  <c r="J13" i="36" s="1"/>
  <c r="J32" i="36"/>
  <c r="J33" i="36" s="1"/>
  <c r="J39" i="36" s="1"/>
  <c r="F50" i="15"/>
  <c r="G37" i="16"/>
  <c r="G39" i="16" s="1"/>
  <c r="E24" i="28"/>
  <c r="G47" i="15"/>
  <c r="G18" i="15"/>
  <c r="F4" i="31"/>
  <c r="F29" i="17"/>
  <c r="F33" i="17" s="1"/>
  <c r="F42" i="17" s="1"/>
  <c r="L43" i="15"/>
  <c r="L5" i="11"/>
  <c r="J9" i="15"/>
  <c r="K7" i="15"/>
  <c r="G11" i="14"/>
  <c r="H10" i="14" s="1"/>
  <c r="L28" i="16"/>
  <c r="K4" i="11"/>
  <c r="K45" i="36"/>
  <c r="K46" i="36" s="1"/>
  <c r="K52" i="36" s="1"/>
  <c r="K6" i="36"/>
  <c r="K32" i="36"/>
  <c r="K19" i="36"/>
  <c r="K20" i="36" s="1"/>
  <c r="K26" i="36" s="1"/>
  <c r="F8" i="35" l="1"/>
  <c r="F6" i="34"/>
  <c r="F3" i="17"/>
  <c r="F11" i="17" s="1"/>
  <c r="F15" i="17" s="1"/>
  <c r="F6" i="30"/>
  <c r="F11" i="30" s="1"/>
  <c r="F15" i="30" s="1"/>
  <c r="F50" i="17"/>
  <c r="F55" i="17" s="1"/>
  <c r="F58" i="17" s="1"/>
  <c r="F41" i="12"/>
  <c r="F5" i="29"/>
  <c r="F10" i="29" s="1"/>
  <c r="F13" i="29" s="1"/>
  <c r="K7" i="36"/>
  <c r="K13" i="36" s="1"/>
  <c r="K33" i="36"/>
  <c r="K39" i="36" s="1"/>
  <c r="F52" i="15"/>
  <c r="G19" i="15"/>
  <c r="F30" i="33" s="1"/>
  <c r="F32" i="33" s="1"/>
  <c r="F34" i="33" s="1"/>
  <c r="M5" i="16"/>
  <c r="L36" i="15"/>
  <c r="L4" i="11" s="1"/>
  <c r="J21" i="15"/>
  <c r="K8" i="16" s="1"/>
  <c r="K12" i="16" s="1"/>
  <c r="I31" i="12"/>
  <c r="K11" i="11"/>
  <c r="K8" i="11"/>
  <c r="G12" i="14"/>
  <c r="G13" i="14" s="1"/>
  <c r="G35" i="12" s="1"/>
  <c r="H11" i="14"/>
  <c r="I10" i="14" s="1"/>
  <c r="F23" i="29"/>
  <c r="H13" i="26"/>
  <c r="F9" i="28" s="1"/>
  <c r="F10" i="28" s="1"/>
  <c r="H12" i="26"/>
  <c r="F12" i="28" s="1"/>
  <c r="F13" i="28" s="1"/>
  <c r="G50" i="15"/>
  <c r="H37" i="16"/>
  <c r="H39" i="16" s="1"/>
  <c r="L7" i="15"/>
  <c r="L9" i="15" s="1"/>
  <c r="K9" i="15"/>
  <c r="F12" i="31"/>
  <c r="F14" i="31"/>
  <c r="O19" i="34" l="1"/>
  <c r="M28" i="16"/>
  <c r="F14" i="33"/>
  <c r="F16" i="33" s="1"/>
  <c r="F18" i="33" s="1"/>
  <c r="B19" i="33" s="1"/>
  <c r="G52" i="15"/>
  <c r="H16" i="15"/>
  <c r="H12" i="14"/>
  <c r="H13" i="14" s="1"/>
  <c r="H35" i="12" s="1"/>
  <c r="H36" i="12" s="1"/>
  <c r="L8" i="11"/>
  <c r="L11" i="11"/>
  <c r="F16" i="28"/>
  <c r="I30" i="16"/>
  <c r="I32" i="16" s="1"/>
  <c r="I33" i="16" s="1"/>
  <c r="I35" i="16" s="1"/>
  <c r="G36" i="12"/>
  <c r="I38" i="17"/>
  <c r="I30" i="17" s="1"/>
  <c r="K27" i="16"/>
  <c r="I34" i="12"/>
  <c r="K13" i="11"/>
  <c r="K15" i="11" s="1"/>
  <c r="J30" i="16" l="1"/>
  <c r="J32" i="16" s="1"/>
  <c r="J33" i="16" s="1"/>
  <c r="J31" i="12"/>
  <c r="K21" i="15"/>
  <c r="L8" i="16" s="1"/>
  <c r="L12" i="16" s="1"/>
  <c r="I5" i="14"/>
  <c r="I9" i="14" s="1"/>
  <c r="G29" i="17"/>
  <c r="G33" i="17" s="1"/>
  <c r="G42" i="17" s="1"/>
  <c r="G5" i="29"/>
  <c r="G10" i="29" s="1"/>
  <c r="G4" i="31"/>
  <c r="G6" i="34"/>
  <c r="G6" i="30"/>
  <c r="G11" i="30" s="1"/>
  <c r="G15" i="30" s="1"/>
  <c r="G8" i="35"/>
  <c r="G3" i="17"/>
  <c r="G11" i="17" s="1"/>
  <c r="G15" i="17" s="1"/>
  <c r="H18" i="15"/>
  <c r="H19" i="15" s="1"/>
  <c r="I4" i="26"/>
  <c r="I5" i="26" s="1"/>
  <c r="G50" i="17"/>
  <c r="G55" i="17" s="1"/>
  <c r="G58" i="17" s="1"/>
  <c r="B26" i="17"/>
  <c r="G41" i="12"/>
  <c r="H41" i="12" s="1"/>
  <c r="F18" i="28"/>
  <c r="F24" i="28"/>
  <c r="H47" i="15"/>
  <c r="J34" i="16"/>
  <c r="L13" i="11"/>
  <c r="L15" i="11" s="1"/>
  <c r="H29" i="17"/>
  <c r="H33" i="17" s="1"/>
  <c r="H42" i="17" s="1"/>
  <c r="H50" i="17"/>
  <c r="H55" i="17" s="1"/>
  <c r="H6" i="30"/>
  <c r="H11" i="30" s="1"/>
  <c r="H15" i="30" s="1"/>
  <c r="H6" i="34"/>
  <c r="I18" i="15"/>
  <c r="H4" i="31"/>
  <c r="J4" i="26"/>
  <c r="J5" i="26" s="1"/>
  <c r="H3" i="17"/>
  <c r="H11" i="17" s="1"/>
  <c r="H5" i="29"/>
  <c r="H10" i="29" s="1"/>
  <c r="M17" i="34" l="1"/>
  <c r="M18" i="34" s="1"/>
  <c r="J35" i="16"/>
  <c r="K34" i="16" s="1"/>
  <c r="G14" i="33"/>
  <c r="G16" i="33" s="1"/>
  <c r="G18" i="33" s="1"/>
  <c r="G30" i="33"/>
  <c r="G32" i="33" s="1"/>
  <c r="G34" i="33" s="1"/>
  <c r="B35" i="33" s="1"/>
  <c r="I16" i="15"/>
  <c r="I19" i="15" s="1"/>
  <c r="G12" i="31"/>
  <c r="G14" i="31"/>
  <c r="I11" i="14"/>
  <c r="J10" i="14" s="1"/>
  <c r="H23" i="29"/>
  <c r="H13" i="29"/>
  <c r="H50" i="15"/>
  <c r="I37" i="16"/>
  <c r="I39" i="16" s="1"/>
  <c r="H15" i="17"/>
  <c r="B17" i="17" s="1"/>
  <c r="B22" i="17" s="1"/>
  <c r="B24" i="17"/>
  <c r="L21" i="15"/>
  <c r="M8" i="16" s="1"/>
  <c r="M12" i="16" s="1"/>
  <c r="K31" i="12"/>
  <c r="G23" i="29"/>
  <c r="G13" i="29"/>
  <c r="J12" i="26"/>
  <c r="H12" i="28" s="1"/>
  <c r="H13" i="28" s="1"/>
  <c r="J13" i="26"/>
  <c r="H9" i="28" s="1"/>
  <c r="H10" i="28" s="1"/>
  <c r="I12" i="26"/>
  <c r="G12" i="28" s="1"/>
  <c r="G13" i="28" s="1"/>
  <c r="I13" i="26"/>
  <c r="G9" i="28" s="1"/>
  <c r="G10" i="28" s="1"/>
  <c r="J38" i="17"/>
  <c r="J30" i="17" s="1"/>
  <c r="L27" i="16"/>
  <c r="J34" i="12"/>
  <c r="I47" i="15" l="1"/>
  <c r="I50" i="15" s="1"/>
  <c r="H52" i="15"/>
  <c r="H16" i="28"/>
  <c r="H24" i="28" s="1"/>
  <c r="I12" i="14"/>
  <c r="I13" i="14" s="1"/>
  <c r="I35" i="12" s="1"/>
  <c r="K30" i="16" s="1"/>
  <c r="K32" i="16" s="1"/>
  <c r="K33" i="16" s="1"/>
  <c r="K35" i="16" s="1"/>
  <c r="K38" i="17"/>
  <c r="K30" i="17" s="1"/>
  <c r="M27" i="16"/>
  <c r="K34" i="12"/>
  <c r="J5" i="14"/>
  <c r="J9" i="14" s="1"/>
  <c r="J11" i="14" s="1"/>
  <c r="K10" i="14" s="1"/>
  <c r="J16" i="15"/>
  <c r="G16" i="28"/>
  <c r="J37" i="16" l="1"/>
  <c r="J39" i="16" s="1"/>
  <c r="H18" i="28"/>
  <c r="I36" i="12"/>
  <c r="I6" i="30" s="1"/>
  <c r="I11" i="30" s="1"/>
  <c r="I15" i="30" s="1"/>
  <c r="I52" i="15"/>
  <c r="J47" i="15"/>
  <c r="L34" i="16"/>
  <c r="G24" i="28"/>
  <c r="B22" i="28" s="1"/>
  <c r="G18" i="28"/>
  <c r="J12" i="14"/>
  <c r="J13" i="14" s="1"/>
  <c r="J35" i="12" s="1"/>
  <c r="K5" i="14"/>
  <c r="K9" i="14" s="1"/>
  <c r="I29" i="17" l="1"/>
  <c r="I33" i="17" s="1"/>
  <c r="I42" i="17" s="1"/>
  <c r="B19" i="28"/>
  <c r="B21" i="28" s="1"/>
  <c r="I6" i="34"/>
  <c r="M19" i="34" s="1"/>
  <c r="I50" i="17"/>
  <c r="I55" i="17" s="1"/>
  <c r="I41" i="12"/>
  <c r="J18" i="15"/>
  <c r="J19" i="15" s="1"/>
  <c r="K16" i="15" s="1"/>
  <c r="I5" i="29"/>
  <c r="I10" i="29" s="1"/>
  <c r="I23" i="29" s="1"/>
  <c r="L30" i="16"/>
  <c r="L32" i="16" s="1"/>
  <c r="L33" i="16" s="1"/>
  <c r="L35" i="16" s="1"/>
  <c r="J36" i="12"/>
  <c r="J41" i="12" s="1"/>
  <c r="K11" i="14"/>
  <c r="K12" i="14" s="1"/>
  <c r="K13" i="14" s="1"/>
  <c r="K35" i="12" s="1"/>
  <c r="J50" i="15"/>
  <c r="K37" i="16"/>
  <c r="K39" i="16" s="1"/>
  <c r="I13" i="29" l="1"/>
  <c r="J52" i="15"/>
  <c r="M30" i="16"/>
  <c r="M32" i="16" s="1"/>
  <c r="M33" i="16" s="1"/>
  <c r="K36" i="12"/>
  <c r="K41" i="12" s="1"/>
  <c r="K47" i="15"/>
  <c r="M34" i="16"/>
  <c r="J29" i="17"/>
  <c r="J33" i="17" s="1"/>
  <c r="J42" i="17" s="1"/>
  <c r="J5" i="29"/>
  <c r="J10" i="29" s="1"/>
  <c r="J6" i="34"/>
  <c r="J6" i="30"/>
  <c r="J11" i="30" s="1"/>
  <c r="J15" i="30" s="1"/>
  <c r="J50" i="17"/>
  <c r="J55" i="17" s="1"/>
  <c r="K18" i="15"/>
  <c r="K19" i="15" s="1"/>
  <c r="M35" i="16" l="1"/>
  <c r="L47" i="15" s="1"/>
  <c r="J23" i="29"/>
  <c r="J13" i="29"/>
  <c r="K50" i="15"/>
  <c r="L37" i="16"/>
  <c r="L39" i="16" s="1"/>
  <c r="L18" i="15"/>
  <c r="K50" i="17"/>
  <c r="K55" i="17" s="1"/>
  <c r="K6" i="34"/>
  <c r="B8" i="34" s="1"/>
  <c r="K29" i="17"/>
  <c r="K33" i="17" s="1"/>
  <c r="K42" i="17" s="1"/>
  <c r="B44" i="17" s="1"/>
  <c r="K6" i="30"/>
  <c r="K11" i="30" s="1"/>
  <c r="K15" i="30" s="1"/>
  <c r="B17" i="30" s="1"/>
  <c r="K5" i="29"/>
  <c r="K10" i="29" s="1"/>
  <c r="L16" i="15"/>
  <c r="K52" i="15" l="1"/>
  <c r="K23" i="29"/>
  <c r="B24" i="29" s="1"/>
  <c r="K13" i="29"/>
  <c r="B14" i="29" s="1"/>
  <c r="B15" i="34"/>
  <c r="B11" i="34"/>
  <c r="B21" i="30"/>
  <c r="B25" i="30"/>
  <c r="L19" i="15"/>
  <c r="L50" i="15"/>
  <c r="M37" i="16"/>
  <c r="M39" i="16" s="1"/>
  <c r="L52" i="15" l="1"/>
</calcChain>
</file>

<file path=xl/sharedStrings.xml><?xml version="1.0" encoding="utf-8"?>
<sst xmlns="http://schemas.openxmlformats.org/spreadsheetml/2006/main" count="1503" uniqueCount="743">
  <si>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</si>
  <si>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</si>
  <si>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</si>
  <si>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</si>
  <si>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</si>
  <si>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</si>
  <si>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</si>
  <si>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</si>
  <si>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</si>
  <si>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</si>
  <si>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</si>
  <si>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</si>
  <si>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</si>
  <si>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</si>
  <si>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</si>
  <si>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</si>
  <si>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</si>
  <si>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</si>
  <si>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</si>
  <si>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</si>
  <si>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</si>
  <si>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</si>
  <si>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</si>
  <si>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</si>
  <si>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</si>
  <si>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</si>
  <si>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</si>
  <si>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</si>
  <si>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</si>
  <si>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</si>
  <si>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</si>
  <si>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</si>
  <si>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</si>
  <si>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</si>
  <si>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</si>
  <si>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</si>
  <si>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</si>
  <si>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</si>
  <si>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</si>
  <si>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</si>
  <si>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</si>
  <si>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</si>
  <si>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</si>
  <si>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</si>
  <si>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</si>
  <si>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</si>
  <si>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</si>
  <si>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</si>
  <si>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</si>
  <si>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</si>
  <si>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</si>
  <si>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</si>
  <si>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</si>
  <si>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</si>
  <si>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</si>
  <si>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</si>
  <si>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</si>
  <si>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</si>
  <si>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</si>
  <si>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</si>
  <si>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</si>
  <si>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</si>
  <si>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</si>
  <si>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</si>
  <si>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</si>
  <si>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</si>
  <si>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</si>
  <si>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</si>
  <si>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</si>
  <si>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</si>
  <si>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</si>
  <si>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</si>
  <si>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</si>
  <si>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</si>
  <si>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</si>
  <si>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</si>
  <si>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</si>
  <si>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</si>
  <si>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</si>
  <si>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</si>
  <si>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</si>
  <si>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</si>
  <si>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</si>
  <si>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</si>
  <si>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</si>
  <si>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</si>
  <si>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</si>
  <si>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</si>
  <si>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</si>
  <si>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</si>
  <si>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</si>
  <si>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</si>
  <si>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</si>
  <si>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</si>
  <si>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</si>
  <si>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</si>
  <si>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</si>
  <si>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</si>
  <si>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</si>
  <si>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</si>
  <si>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</si>
  <si>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</si>
  <si>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</si>
  <si>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</si>
  <si>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</si>
  <si>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</si>
  <si>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</si>
  <si>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</si>
  <si>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</si>
  <si>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</si>
  <si>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</si>
  <si>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</si>
  <si>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</si>
  <si>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</si>
  <si>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2000 p.m.</t>
  </si>
  <si>
    <t>Power Calc. (Variable)</t>
  </si>
  <si>
    <t>Telephone</t>
  </si>
  <si>
    <t>Internet &amp; Broadband</t>
  </si>
  <si>
    <t xml:space="preserve">1250 p.m. </t>
  </si>
  <si>
    <t>Office Electricity</t>
  </si>
  <si>
    <t>5 KVA (Power chart)</t>
  </si>
  <si>
    <t>Accounting Charges</t>
  </si>
  <si>
    <t>3000 p.m.</t>
  </si>
  <si>
    <t>Legal Expenses</t>
  </si>
  <si>
    <t>Admin Staff Salary</t>
  </si>
  <si>
    <t>Admin Manpower Chart</t>
  </si>
  <si>
    <t>Conveyance</t>
  </si>
  <si>
    <t>Travelling Expenses</t>
  </si>
  <si>
    <t xml:space="preserve">Perodicals </t>
  </si>
  <si>
    <t xml:space="preserve">1000 p.m.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</si>
  <si>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</si>
  <si>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</si>
  <si>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</si>
  <si>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</si>
  <si>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</si>
  <si>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</si>
  <si>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</si>
  <si>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</si>
  <si>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</si>
  <si>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</si>
  <si>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</si>
  <si>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</si>
  <si>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</si>
  <si>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</si>
  <si>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</si>
  <si>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</si>
  <si>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</si>
  <si>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Wax and Other consumables</t>
  </si>
  <si>
    <t>Packaging Material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</si>
  <si>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</si>
  <si>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</si>
  <si>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</si>
  <si>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</si>
  <si>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</si>
  <si>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</si>
  <si>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</si>
  <si>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</si>
  <si>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</si>
  <si>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</si>
  <si>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</si>
  <si>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</si>
  <si>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</si>
  <si>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</si>
  <si>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</si>
  <si>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</si>
  <si>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</si>
  <si>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</si>
  <si>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</si>
  <si>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</si>
  <si>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</si>
  <si>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</si>
  <si>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</si>
  <si>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</si>
  <si>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</si>
  <si>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</si>
  <si>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</si>
  <si>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</si>
  <si>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</si>
  <si>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</si>
  <si>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</si>
  <si>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</si>
  <si>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</si>
  <si>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</si>
  <si>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</si>
  <si>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</si>
  <si>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</si>
  <si>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</si>
  <si>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</si>
  <si>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</si>
  <si>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</si>
  <si>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</si>
  <si>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</si>
  <si>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</si>
  <si>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</si>
  <si>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</si>
  <si>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</si>
  <si>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</si>
  <si>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</si>
  <si>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</si>
  <si>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</si>
  <si>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</si>
  <si>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</si>
  <si>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</si>
  <si>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</si>
  <si>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</si>
  <si>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</si>
  <si>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</si>
  <si>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</si>
  <si>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</si>
  <si>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</si>
  <si>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</si>
  <si>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</si>
  <si>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</si>
  <si>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</si>
  <si>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</si>
  <si>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</si>
  <si>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</si>
  <si>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</si>
  <si>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</si>
  <si>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</si>
  <si>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</si>
  <si>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</si>
  <si>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</si>
  <si>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</si>
  <si>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</si>
  <si>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</si>
  <si>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</si>
  <si>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</si>
  <si>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</si>
  <si>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</si>
  <si>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</si>
  <si>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</si>
  <si>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</si>
  <si>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</si>
  <si>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</si>
  <si>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</si>
  <si>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</si>
  <si>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</si>
  <si>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</si>
  <si>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</si>
  <si>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</si>
  <si>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</si>
  <si>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</si>
  <si>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</si>
  <si>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</si>
  <si>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</si>
  <si>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</si>
  <si>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</si>
  <si>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</si>
  <si>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</si>
  <si>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</si>
  <si>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</si>
  <si>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</si>
  <si>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</si>
  <si>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</si>
  <si>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</si>
  <si>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</si>
  <si>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</si>
  <si>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</si>
  <si>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</si>
  <si>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</si>
  <si>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</si>
  <si>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</si>
  <si>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</si>
  <si>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</si>
  <si>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</si>
  <si>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</si>
  <si>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</si>
  <si>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</si>
  <si>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</si>
  <si>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</si>
  <si>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</si>
  <si>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</si>
  <si>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</si>
  <si>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</si>
  <si>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</si>
  <si>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</si>
  <si>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</si>
  <si>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</si>
  <si>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</si>
  <si>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</si>
  <si>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</si>
  <si>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</si>
  <si>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</si>
  <si>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</si>
  <si>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</si>
  <si>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</si>
  <si>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</si>
  <si>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</si>
  <si>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</si>
  <si>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</si>
  <si>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</si>
  <si>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</si>
  <si>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</si>
  <si>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</si>
  <si>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</si>
  <si>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</si>
  <si>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</si>
  <si>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</si>
  <si>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</si>
  <si>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</si>
  <si>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</si>
  <si>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</si>
  <si>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</si>
  <si>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</si>
  <si>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</si>
  <si>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</si>
  <si>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</si>
  <si>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</si>
  <si>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</si>
  <si>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</si>
  <si>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</si>
  <si>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</si>
  <si>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</si>
  <si>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</si>
  <si>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</si>
  <si>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</si>
  <si>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</si>
  <si>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</si>
  <si>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</si>
  <si>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</si>
  <si>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</si>
  <si>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</si>
  <si>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</si>
  <si>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</si>
  <si>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</si>
  <si>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</si>
  <si>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</si>
  <si>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</si>
  <si>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</si>
  <si>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</si>
  <si>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</si>
  <si>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</si>
  <si>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</si>
  <si>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</si>
  <si>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</si>
  <si>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</si>
  <si>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</si>
  <si>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</si>
  <si>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</si>
  <si>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</si>
  <si>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</si>
  <si>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</si>
  <si>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</si>
  <si>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</si>
  <si>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</si>
  <si>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</si>
  <si>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</si>
  <si>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</si>
  <si>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</si>
  <si>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</si>
  <si>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</si>
  <si>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</si>
  <si>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</si>
  <si>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</si>
  <si>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</si>
  <si>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</si>
  <si>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</si>
  <si>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</si>
  <si>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</si>
  <si>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</si>
  <si>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</si>
  <si>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</si>
  <si>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</si>
  <si>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</si>
  <si>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</si>
  <si>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</si>
  <si>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</si>
  <si>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</si>
  <si>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</si>
  <si>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</si>
  <si>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</si>
  <si>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</si>
  <si>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</si>
  <si>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</si>
  <si>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</si>
  <si>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</si>
  <si>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</si>
  <si>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</si>
  <si>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</si>
  <si>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</si>
  <si>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</si>
  <si>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</si>
  <si>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</si>
  <si>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</si>
  <si>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</si>
  <si>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</si>
  <si>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</si>
  <si>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</si>
  <si>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</si>
  <si>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</si>
  <si>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</si>
  <si>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</si>
  <si>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</si>
  <si>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</si>
  <si>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Sr.No.</t>
  </si>
  <si>
    <t>ITEM</t>
  </si>
  <si>
    <t>ESTIMATE in Lakh INR</t>
  </si>
  <si>
    <t>CIVIL WORKS</t>
  </si>
  <si>
    <t>Main Building including plinth &amp; PEB</t>
  </si>
  <si>
    <t>Site developing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</si>
  <si>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</si>
  <si>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</si>
  <si>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</si>
  <si>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</si>
  <si>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</si>
  <si>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</si>
  <si>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</si>
  <si>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</si>
  <si>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</si>
  <si>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</si>
  <si>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</si>
  <si>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</si>
  <si>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</si>
  <si>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</si>
  <si>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</si>
  <si>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</si>
  <si>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</si>
  <si>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</si>
  <si>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</si>
  <si>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</si>
  <si>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</si>
  <si>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</si>
  <si>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Revenue- Custom Hiring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</si>
  <si>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</si>
  <si>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</si>
  <si>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</si>
  <si>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</si>
  <si>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</si>
  <si>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</si>
  <si>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</si>
  <si>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</si>
  <si>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</si>
  <si>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</si>
  <si>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</si>
  <si>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</si>
  <si>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</si>
  <si>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</si>
  <si>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</si>
  <si>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</si>
  <si>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</si>
  <si>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</si>
  <si>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</si>
  <si>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</si>
  <si>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</si>
  <si>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</si>
  <si>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</si>
  <si>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</si>
  <si>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</si>
  <si>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</si>
  <si>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</si>
  <si>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</si>
  <si>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</si>
  <si>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</si>
  <si>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</si>
  <si>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</si>
  <si>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</si>
  <si>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</si>
  <si>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</si>
  <si>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</si>
  <si>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</si>
  <si>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</si>
  <si>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</si>
  <si>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</si>
  <si>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</si>
  <si>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</si>
  <si>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</si>
  <si>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</si>
  <si>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</si>
  <si>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</si>
  <si>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</si>
  <si>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</si>
  <si>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</si>
  <si>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</si>
  <si>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</si>
  <si>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</si>
  <si>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</si>
  <si>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</si>
  <si>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</si>
  <si>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</si>
  <si>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</si>
  <si>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</si>
  <si>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</si>
  <si>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</si>
  <si>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</si>
  <si>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</si>
  <si>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</si>
  <si>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</si>
  <si>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</si>
  <si>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</si>
  <si>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</si>
  <si>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</si>
  <si>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</si>
  <si>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</si>
  <si>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</si>
  <si>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</si>
  <si>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</si>
  <si>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</si>
  <si>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</si>
  <si>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</si>
  <si>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</si>
  <si>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</si>
  <si>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</si>
  <si>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</si>
  <si>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</si>
  <si>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</si>
  <si>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</si>
  <si>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</si>
  <si>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</si>
  <si>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</si>
  <si>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</si>
  <si>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</si>
  <si>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</si>
  <si>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</si>
  <si>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</si>
  <si>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</si>
  <si>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</si>
  <si>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</si>
  <si>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</si>
  <si>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</si>
  <si>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</si>
  <si>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</si>
  <si>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</si>
  <si>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</si>
  <si>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</si>
  <si>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</si>
  <si>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</si>
  <si>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</si>
  <si>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</si>
  <si>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</si>
  <si>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</si>
  <si>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</si>
  <si>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</si>
  <si>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</si>
  <si>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</si>
  <si>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</si>
  <si>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</si>
  <si>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</si>
  <si>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</si>
  <si>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</si>
  <si>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</si>
  <si>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</si>
  <si>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</si>
  <si>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</si>
  <si>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</si>
  <si>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</si>
  <si>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</si>
  <si>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</si>
  <si>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</si>
  <si>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</si>
  <si>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</si>
  <si>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</si>
  <si>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</si>
  <si>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</si>
  <si>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</si>
  <si>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</si>
  <si>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Office table</t>
  </si>
  <si>
    <t>Chairs</t>
  </si>
  <si>
    <t>TOTAL (1+2+3+4+5)</t>
  </si>
  <si>
    <t>PRELIMINARY &amp; PREOPERATIVE EXP</t>
  </si>
  <si>
    <t>Broken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</si>
  <si>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</si>
  <si>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</si>
  <si>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</si>
  <si>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</si>
  <si>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</si>
  <si>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</si>
  <si>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</si>
  <si>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</si>
  <si>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</si>
  <si>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</si>
  <si>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</si>
  <si>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</si>
  <si>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</si>
  <si>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</si>
  <si>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</si>
  <si>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</si>
  <si>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</si>
  <si>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</si>
  <si>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</si>
  <si>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</si>
  <si>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</si>
  <si>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</si>
  <si>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G</t>
  </si>
  <si>
    <t>Flooring and minor fixtures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</si>
  <si>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</si>
  <si>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</si>
  <si>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</si>
  <si>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</si>
  <si>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</si>
  <si>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</si>
  <si>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</si>
  <si>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>with grant</t>
  </si>
  <si>
    <t>without grant</t>
  </si>
  <si>
    <t>W.C Loan (unsecured loan from Directors)</t>
  </si>
  <si>
    <t>none</t>
  </si>
  <si>
    <t>Rent for Land</t>
  </si>
  <si>
    <t>1000 p.m.</t>
  </si>
  <si>
    <t>Members</t>
  </si>
  <si>
    <t>Non-Members</t>
  </si>
  <si>
    <t>Services Users and RM Sellers</t>
  </si>
  <si>
    <t>Production- Paddy (MT)</t>
  </si>
  <si>
    <t>Total Production (Paddy)</t>
  </si>
  <si>
    <t>Income Tax 30%</t>
  </si>
  <si>
    <t>Requirement of Project (MT)</t>
  </si>
  <si>
    <t>H</t>
  </si>
  <si>
    <t>I</t>
  </si>
  <si>
    <t>J</t>
  </si>
  <si>
    <t>K</t>
  </si>
  <si>
    <t>WEIGH BRIDGE</t>
  </si>
  <si>
    <t>Packaging , Printing &amp; Weighing Machine</t>
  </si>
  <si>
    <t>Packaging Machine</t>
  </si>
  <si>
    <t>Printing Machine</t>
  </si>
  <si>
    <t>Weighing Machine</t>
  </si>
  <si>
    <t>ELECTRIC FITTING</t>
  </si>
  <si>
    <t>11 KV Line</t>
  </si>
  <si>
    <t>Total Input (Paddy) (MT)</t>
  </si>
  <si>
    <t>Paddy processed per day (MT)</t>
  </si>
  <si>
    <t>Husk</t>
  </si>
  <si>
    <t>Bran</t>
  </si>
  <si>
    <t>Weigh Bridge Operator</t>
  </si>
  <si>
    <t>Weigh Bridge Revenue Schedule</t>
  </si>
  <si>
    <t>Trucks Weighed per day</t>
  </si>
  <si>
    <t>No. of days of operation</t>
  </si>
  <si>
    <t>Tractors Weighed per day</t>
  </si>
  <si>
    <t xml:space="preserve">Total Revenue </t>
  </si>
  <si>
    <t>Revenue from Weigh Bridge operation</t>
  </si>
  <si>
    <t>Charges per vehicle</t>
  </si>
  <si>
    <t>500/day</t>
  </si>
  <si>
    <t>Net taxable profit</t>
  </si>
  <si>
    <t>Rice Mill</t>
  </si>
  <si>
    <t>5000 p.m.</t>
  </si>
  <si>
    <t>1% of machine cost &amp; civil works</t>
  </si>
  <si>
    <t>Marketable Surplus - Paddy (70%)</t>
  </si>
  <si>
    <t>Nil</t>
  </si>
  <si>
    <t>Smart Subsidy %</t>
  </si>
  <si>
    <t>Subsidy Amount</t>
  </si>
  <si>
    <t>Revenue- Service Charges - Rice Milling</t>
  </si>
  <si>
    <t>90% reserved for JW Services</t>
  </si>
  <si>
    <t>10% reserved for Captive operations</t>
  </si>
  <si>
    <t>90% capacity reserved</t>
  </si>
  <si>
    <t>10% capacity reserved</t>
  </si>
  <si>
    <t xml:space="preserve"> </t>
  </si>
  <si>
    <t>Civil work for Factory Building</t>
  </si>
  <si>
    <t>White wash and paint to internal / external wall surfaces</t>
  </si>
  <si>
    <t>Destoner</t>
  </si>
  <si>
    <t>L</t>
  </si>
  <si>
    <t>N</t>
  </si>
  <si>
    <t>O</t>
  </si>
  <si>
    <t>P</t>
  </si>
  <si>
    <t>Weigh Bridge- (60 Ton capacity)</t>
  </si>
  <si>
    <t>Rice</t>
  </si>
  <si>
    <t>Loss b/f</t>
  </si>
  <si>
    <t>loss c/f</t>
  </si>
  <si>
    <t>Variety</t>
  </si>
  <si>
    <t>JSR</t>
  </si>
  <si>
    <t>Rice Milling Machine (3.5 TPH)</t>
  </si>
  <si>
    <t>Centrifugal Fan 7.5 HP/8500CMH/100 MM / WG</t>
  </si>
  <si>
    <t>Pnuematic Sheller</t>
  </si>
  <si>
    <t>12.5HP;1000RPM;FT(IE2);SIEM-1LE7</t>
  </si>
  <si>
    <t>Husk Separator</t>
  </si>
  <si>
    <t>5HP 1500 RPM FT MTG IE2-1LE7-HEM</t>
  </si>
  <si>
    <t>Paddy Seperator</t>
  </si>
  <si>
    <t>3HP;960RPM;FT.MTG;Siem IE2-1LE7</t>
  </si>
  <si>
    <t>Rotary Sifter</t>
  </si>
  <si>
    <t>2HP,1500RPM,FL,SIEM IE2-1LE7</t>
  </si>
  <si>
    <t>Rice Whitener</t>
  </si>
  <si>
    <t>30 HP,1500 RPM,FL MTG.,SIEM IE2-1LE7</t>
  </si>
  <si>
    <t>Centrifugal Fan - 10 HP/4200/4200 CMH/300 MM WG/CB 4.2K300H(M)</t>
  </si>
  <si>
    <t>Cyclone Seperator-950-L</t>
  </si>
  <si>
    <t>Bran Discharger</t>
  </si>
  <si>
    <t>Other Charges Related to above machineries</t>
  </si>
  <si>
    <t>MCC Panel</t>
  </si>
  <si>
    <t xml:space="preserve">3000 p.a. </t>
  </si>
  <si>
    <t>65 KVA (Power chart)</t>
  </si>
  <si>
    <t>60 KVA (Power chart)</t>
  </si>
  <si>
    <t>to check extra quute of sheet and pipe</t>
  </si>
  <si>
    <t>10 lakh</t>
  </si>
  <si>
    <t>and additional pre cleaner, elevator and bran filter</t>
  </si>
  <si>
    <t>quotation not found</t>
  </si>
  <si>
    <t>A1</t>
  </si>
  <si>
    <t xml:space="preserve">Building and Construction </t>
  </si>
  <si>
    <t>Technical Civil Works (2000MT Godown)</t>
  </si>
  <si>
    <t>1143.00 SQM</t>
  </si>
  <si>
    <t>0.1176/ SQM</t>
  </si>
  <si>
    <t>Inc.</t>
  </si>
  <si>
    <t>A2</t>
  </si>
  <si>
    <t>Machinery and equipment</t>
  </si>
  <si>
    <t>PRE CLEANER</t>
  </si>
  <si>
    <t>7” GEARED ELEVATOR</t>
  </si>
  <si>
    <t>BRAN FILLTER</t>
  </si>
  <si>
    <t>Weigh Bridge</t>
  </si>
  <si>
    <t>H.R.Sheet, Pipes and M.S. Angle/Channel/Beam</t>
  </si>
  <si>
    <t>-</t>
  </si>
  <si>
    <t>A3</t>
  </si>
  <si>
    <t>Furniture &amp; Fixtures</t>
  </si>
  <si>
    <t>Office Table and Chairs, and misc. furniture</t>
  </si>
  <si>
    <t>LS</t>
  </si>
  <si>
    <t>1 Set</t>
  </si>
  <si>
    <t>(LS)</t>
  </si>
  <si>
    <t>A4</t>
  </si>
  <si>
    <t>Electrical Fittings</t>
  </si>
  <si>
    <t>For 100KVA</t>
  </si>
  <si>
    <t>A5</t>
  </si>
  <si>
    <t>Preliminary &amp; Pre-operative Exp.</t>
  </si>
  <si>
    <t>A6</t>
  </si>
  <si>
    <t>Total (A)</t>
  </si>
  <si>
    <t>Q</t>
  </si>
  <si>
    <t>R</t>
  </si>
  <si>
    <t>S</t>
  </si>
  <si>
    <t>Pre Cleaner</t>
  </si>
  <si>
    <t>7" Geared Elevator</t>
  </si>
  <si>
    <t>Bran Filter</t>
  </si>
  <si>
    <t>H.R.Sheet, Pipes and M.S. Angle/Channel/Beam for machinery</t>
  </si>
  <si>
    <t>Total Input (Paddy) (Jai Shri Ram) (MT)</t>
  </si>
  <si>
    <t>Captive Operations Grade Output (Jai Shri Ram)(MT)</t>
  </si>
  <si>
    <t>Paddy (IR 1010)</t>
  </si>
  <si>
    <t>Total Input (Paddy) (IR 1010) (MT)</t>
  </si>
  <si>
    <t>Captive Operations Grade Output (IR 1010)(MT)</t>
  </si>
  <si>
    <t>Value of Opening Stock</t>
  </si>
  <si>
    <t>Value of Closing stock</t>
  </si>
  <si>
    <t>Paddy (Jai Shri Ram)</t>
  </si>
  <si>
    <t>Finished Goods (MT)- IR 1010</t>
  </si>
  <si>
    <t>Finished Goods (MT)- Jai Shri Ram</t>
  </si>
  <si>
    <t>IR 1010</t>
  </si>
  <si>
    <t>JAI SHRI RAM</t>
  </si>
  <si>
    <t>Jari</t>
  </si>
  <si>
    <t>e</t>
  </si>
  <si>
    <t>4 TPH</t>
  </si>
  <si>
    <t>400/ton</t>
  </si>
  <si>
    <t>Grade Output -IR 1010</t>
  </si>
  <si>
    <t>Grade Output -Jai Shri Ram Variety</t>
  </si>
  <si>
    <t>Paddy- IR 1010</t>
  </si>
  <si>
    <t>Jai Shri Ram</t>
  </si>
  <si>
    <t>Paddy - Jai Shri Ram</t>
  </si>
  <si>
    <t>Paddy processing (in Rs. Per MT)</t>
  </si>
  <si>
    <t>Present Value Equivalent @ 42.38%</t>
  </si>
  <si>
    <t>DTC- 100 KVA</t>
  </si>
  <si>
    <t>IR-1010</t>
  </si>
  <si>
    <t>4 Years 3 months</t>
  </si>
  <si>
    <t>6 Yrs 4 month</t>
  </si>
  <si>
    <t>Present Value Equivalent @ 14.79%</t>
  </si>
  <si>
    <r>
      <t>Add</t>
    </r>
    <r>
      <rPr>
        <sz val="11"/>
        <color indexed="8"/>
        <rFont val="Arial"/>
        <family val="2"/>
      </rPr>
      <t>: Deprication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</si>
</sst>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 * #,##0_ ;_ * \-#,##0_ ;_ * &quot;-&quot;??_ ;_ 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sz val="10"/>
      <color theme="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1"/>
      <color theme="1" tint="4.9989318521683403E-2"/>
      <name val="Arial"/>
      <family val="2"/>
    </font>
    <font>
      <b/>
      <i/>
      <sz val="11"/>
      <color theme="1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1" applyFont="1" applyBorder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2" fontId="2" fillId="0" borderId="0" xfId="0" applyNumberFormat="1" applyFont="1"/>
    <xf numFmtId="0" fontId="6" fillId="2" borderId="1" xfId="0" applyFont="1" applyFill="1" applyBorder="1"/>
    <xf numFmtId="0" fontId="5" fillId="2" borderId="1" xfId="0" applyFont="1" applyFill="1" applyBorder="1"/>
    <xf numFmtId="0" fontId="0" fillId="0" borderId="1" xfId="0" applyBorder="1"/>
    <xf numFmtId="2" fontId="2" fillId="0" borderId="1" xfId="0" applyNumberFormat="1" applyFont="1" applyBorder="1"/>
    <xf numFmtId="0" fontId="2" fillId="0" borderId="0" xfId="0" applyFont="1" applyBorder="1"/>
    <xf numFmtId="164" fontId="0" fillId="0" borderId="0" xfId="0" applyNumberFormat="1"/>
    <xf numFmtId="164" fontId="2" fillId="0" borderId="0" xfId="0" applyNumberFormat="1" applyFont="1"/>
    <xf numFmtId="0" fontId="4" fillId="0" borderId="1" xfId="0" applyFont="1" applyFill="1" applyBorder="1" applyAlignment="1">
      <alignment wrapText="1"/>
    </xf>
    <xf numFmtId="164" fontId="3" fillId="0" borderId="1" xfId="1" applyFont="1" applyBorder="1"/>
    <xf numFmtId="0" fontId="4" fillId="0" borderId="1" xfId="0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164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164" fontId="10" fillId="0" borderId="1" xfId="1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9" fillId="2" borderId="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164" fontId="4" fillId="0" borderId="1" xfId="0" applyNumberFormat="1" applyFont="1" applyBorder="1"/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6" fillId="2" borderId="1" xfId="0" applyNumberFormat="1" applyFont="1" applyFill="1" applyBorder="1"/>
    <xf numFmtId="164" fontId="2" fillId="0" borderId="0" xfId="1" applyFont="1" applyBorder="1"/>
    <xf numFmtId="164" fontId="3" fillId="0" borderId="0" xfId="0" applyNumberFormat="1" applyFont="1" applyBorder="1"/>
    <xf numFmtId="0" fontId="5" fillId="0" borderId="0" xfId="0" applyFont="1" applyFill="1" applyBorder="1"/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164" fontId="7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/>
    <xf numFmtId="0" fontId="8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164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right"/>
    </xf>
    <xf numFmtId="0" fontId="15" fillId="0" borderId="1" xfId="0" applyFont="1" applyBorder="1"/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1"/>
    </xf>
    <xf numFmtId="2" fontId="17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21" fillId="2" borderId="1" xfId="0" applyFont="1" applyFill="1" applyBorder="1"/>
    <xf numFmtId="0" fontId="22" fillId="0" borderId="1" xfId="0" applyFont="1" applyBorder="1"/>
    <xf numFmtId="0" fontId="19" fillId="0" borderId="1" xfId="0" applyFont="1" applyBorder="1"/>
    <xf numFmtId="3" fontId="22" fillId="0" borderId="1" xfId="0" applyNumberFormat="1" applyFont="1" applyBorder="1" applyAlignment="1">
      <alignment horizontal="center"/>
    </xf>
    <xf numFmtId="4" fontId="22" fillId="0" borderId="1" xfId="0" applyNumberFormat="1" applyFont="1" applyBorder="1"/>
    <xf numFmtId="164" fontId="22" fillId="0" borderId="1" xfId="0" applyNumberFormat="1" applyFont="1" applyBorder="1"/>
    <xf numFmtId="1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/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2" fontId="19" fillId="0" borderId="1" xfId="0" applyNumberFormat="1" applyFont="1" applyBorder="1"/>
    <xf numFmtId="0" fontId="22" fillId="0" borderId="1" xfId="0" applyFont="1" applyBorder="1" applyAlignment="1">
      <alignment wrapText="1"/>
    </xf>
    <xf numFmtId="0" fontId="24" fillId="0" borderId="1" xfId="0" applyFont="1" applyBorder="1"/>
    <xf numFmtId="4" fontId="24" fillId="0" borderId="1" xfId="0" applyNumberFormat="1" applyFont="1" applyBorder="1"/>
    <xf numFmtId="2" fontId="24" fillId="0" borderId="1" xfId="0" applyNumberFormat="1" applyFont="1" applyBorder="1"/>
    <xf numFmtId="0" fontId="24" fillId="0" borderId="1" xfId="0" applyFont="1" applyBorder="1" applyAlignment="1">
      <alignment wrapText="1"/>
    </xf>
    <xf numFmtId="0" fontId="23" fillId="2" borderId="1" xfId="0" applyFont="1" applyFill="1" applyBorder="1" applyAlignment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0" fontId="19" fillId="0" borderId="0" xfId="0" applyFont="1"/>
    <xf numFmtId="0" fontId="24" fillId="0" borderId="1" xfId="0" applyFont="1" applyBorder="1" applyAlignment="1">
      <alignment horizontal="center" wrapText="1"/>
    </xf>
    <xf numFmtId="164" fontId="24" fillId="0" borderId="1" xfId="1" applyFont="1" applyBorder="1" applyAlignment="1">
      <alignment wrapText="1"/>
    </xf>
    <xf numFmtId="0" fontId="24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1" fontId="18" fillId="0" borderId="1" xfId="0" applyNumberFormat="1" applyFont="1" applyBorder="1" applyAlignment="1">
      <alignment horizontal="center"/>
    </xf>
    <xf numFmtId="0" fontId="26" fillId="11" borderId="1" xfId="0" applyFont="1" applyFill="1" applyBorder="1"/>
    <xf numFmtId="0" fontId="26" fillId="0" borderId="1" xfId="0" applyFont="1" applyBorder="1"/>
    <xf numFmtId="1" fontId="26" fillId="0" borderId="1" xfId="0" applyNumberFormat="1" applyFont="1" applyBorder="1"/>
    <xf numFmtId="167" fontId="26" fillId="0" borderId="1" xfId="1" applyNumberFormat="1" applyFont="1" applyBorder="1"/>
    <xf numFmtId="167" fontId="26" fillId="11" borderId="1" xfId="1" applyNumberFormat="1" applyFont="1" applyFill="1" applyBorder="1"/>
    <xf numFmtId="0" fontId="26" fillId="0" borderId="1" xfId="0" applyFont="1" applyFill="1" applyBorder="1"/>
    <xf numFmtId="0" fontId="27" fillId="11" borderId="1" xfId="0" applyFont="1" applyFill="1" applyBorder="1"/>
    <xf numFmtId="167" fontId="27" fillId="11" borderId="1" xfId="1" applyNumberFormat="1" applyFont="1" applyFill="1" applyBorder="1"/>
    <xf numFmtId="0" fontId="26" fillId="0" borderId="0" xfId="0" applyFont="1"/>
    <xf numFmtId="167" fontId="26" fillId="0" borderId="0" xfId="1" applyNumberFormat="1" applyFont="1"/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22" fillId="0" borderId="0" xfId="0" applyFont="1"/>
    <xf numFmtId="0" fontId="22" fillId="0" borderId="1" xfId="0" applyFont="1" applyFill="1" applyBorder="1"/>
    <xf numFmtId="0" fontId="19" fillId="0" borderId="1" xfId="0" applyFont="1" applyFill="1" applyBorder="1"/>
    <xf numFmtId="0" fontId="29" fillId="0" borderId="0" xfId="0" applyFont="1"/>
    <xf numFmtId="0" fontId="28" fillId="2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center"/>
    </xf>
    <xf numFmtId="0" fontId="29" fillId="0" borderId="1" xfId="0" applyFont="1" applyBorder="1"/>
    <xf numFmtId="4" fontId="29" fillId="0" borderId="1" xfId="0" applyNumberFormat="1" applyFont="1" applyBorder="1"/>
    <xf numFmtId="4" fontId="29" fillId="0" borderId="0" xfId="0" applyNumberFormat="1" applyFont="1"/>
    <xf numFmtId="0" fontId="30" fillId="0" borderId="1" xfId="0" applyFont="1" applyBorder="1"/>
    <xf numFmtId="2" fontId="29" fillId="0" borderId="1" xfId="0" applyNumberFormat="1" applyFont="1" applyBorder="1"/>
    <xf numFmtId="0" fontId="29" fillId="0" borderId="1" xfId="0" quotePrefix="1" applyFont="1" applyBorder="1" applyAlignment="1">
      <alignment horizontal="left"/>
    </xf>
    <xf numFmtId="4" fontId="19" fillId="0" borderId="1" xfId="0" applyNumberFormat="1" applyFont="1" applyBorder="1"/>
    <xf numFmtId="0" fontId="18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wrapText="1"/>
    </xf>
    <xf numFmtId="0" fontId="30" fillId="0" borderId="1" xfId="0" applyFont="1" applyFill="1" applyBorder="1" applyAlignment="1">
      <alignment wrapText="1"/>
    </xf>
    <xf numFmtId="165" fontId="29" fillId="0" borderId="1" xfId="1" applyNumberFormat="1" applyFont="1" applyFill="1" applyBorder="1" applyAlignment="1">
      <alignment wrapText="1"/>
    </xf>
    <xf numFmtId="164" fontId="30" fillId="0" borderId="1" xfId="1" applyFont="1" applyFill="1" applyBorder="1" applyAlignment="1">
      <alignment wrapText="1"/>
    </xf>
    <xf numFmtId="164" fontId="29" fillId="0" borderId="1" xfId="1" applyFont="1" applyFill="1" applyBorder="1" applyAlignment="1">
      <alignment horizontal="right" wrapText="1"/>
    </xf>
    <xf numFmtId="2" fontId="30" fillId="0" borderId="1" xfId="0" applyNumberFormat="1" applyFont="1" applyFill="1" applyBorder="1" applyAlignment="1">
      <alignment wrapText="1"/>
    </xf>
    <xf numFmtId="164" fontId="29" fillId="0" borderId="1" xfId="1" applyFont="1" applyFill="1" applyBorder="1" applyAlignment="1">
      <alignment wrapText="1"/>
    </xf>
    <xf numFmtId="164" fontId="30" fillId="0" borderId="1" xfId="1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horizontal="right" wrapText="1"/>
    </xf>
    <xf numFmtId="2" fontId="29" fillId="0" borderId="1" xfId="0" applyNumberFormat="1" applyFont="1" applyFill="1" applyBorder="1" applyAlignment="1">
      <alignment wrapText="1"/>
    </xf>
    <xf numFmtId="0" fontId="22" fillId="0" borderId="0" xfId="0" applyFont="1" applyFill="1"/>
    <xf numFmtId="0" fontId="21" fillId="2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/>
    <xf numFmtId="2" fontId="31" fillId="0" borderId="1" xfId="0" applyNumberFormat="1" applyFont="1" applyFill="1" applyBorder="1"/>
    <xf numFmtId="164" fontId="22" fillId="0" borderId="1" xfId="1" applyFont="1" applyFill="1" applyBorder="1"/>
    <xf numFmtId="164" fontId="31" fillId="0" borderId="1" xfId="1" applyFont="1" applyFill="1" applyBorder="1"/>
    <xf numFmtId="0" fontId="32" fillId="0" borderId="1" xfId="0" applyFont="1" applyFill="1" applyBorder="1"/>
    <xf numFmtId="0" fontId="21" fillId="2" borderId="1" xfId="0" applyFont="1" applyFill="1" applyBorder="1" applyAlignment="1">
      <alignment horizontal="center" vertical="top" wrapText="1"/>
    </xf>
    <xf numFmtId="2" fontId="18" fillId="0" borderId="1" xfId="0" applyNumberFormat="1" applyFont="1" applyBorder="1"/>
    <xf numFmtId="0" fontId="28" fillId="2" borderId="1" xfId="0" applyFont="1" applyFill="1" applyBorder="1" applyAlignment="1">
      <alignment horizontal="right"/>
    </xf>
    <xf numFmtId="164" fontId="19" fillId="0" borderId="1" xfId="0" applyNumberFormat="1" applyFont="1" applyBorder="1"/>
    <xf numFmtId="9" fontId="19" fillId="0" borderId="1" xfId="0" applyNumberFormat="1" applyFont="1" applyBorder="1"/>
    <xf numFmtId="0" fontId="18" fillId="0" borderId="1" xfId="0" applyFont="1" applyBorder="1" applyAlignment="1">
      <alignment horizontal="right"/>
    </xf>
    <xf numFmtId="0" fontId="22" fillId="0" borderId="1" xfId="0" applyFont="1" applyFill="1" applyBorder="1" applyAlignment="1">
      <alignment horizontal="left"/>
    </xf>
    <xf numFmtId="164" fontId="19" fillId="0" borderId="1" xfId="1" applyFont="1" applyBorder="1"/>
    <xf numFmtId="0" fontId="33" fillId="0" borderId="1" xfId="0" applyFont="1" applyFill="1" applyBorder="1"/>
    <xf numFmtId="4" fontId="22" fillId="0" borderId="1" xfId="0" applyNumberFormat="1" applyFont="1" applyFill="1" applyBorder="1"/>
    <xf numFmtId="164" fontId="22" fillId="0" borderId="1" xfId="1" applyFont="1" applyBorder="1"/>
    <xf numFmtId="0" fontId="23" fillId="2" borderId="1" xfId="0" applyFont="1" applyFill="1" applyBorder="1" applyAlignment="1">
      <alignment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1" fillId="0" borderId="1" xfId="0" applyFont="1" applyBorder="1"/>
    <xf numFmtId="164" fontId="31" fillId="0" borderId="1" xfId="1" applyFont="1" applyBorder="1"/>
    <xf numFmtId="164" fontId="18" fillId="0" borderId="1" xfId="0" applyNumberFormat="1" applyFont="1" applyBorder="1"/>
    <xf numFmtId="0" fontId="28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36" fillId="0" borderId="1" xfId="0" applyFont="1" applyFill="1" applyBorder="1"/>
    <xf numFmtId="0" fontId="31" fillId="0" borderId="1" xfId="0" applyFont="1" applyBorder="1" applyAlignment="1">
      <alignment horizontal="center"/>
    </xf>
    <xf numFmtId="1" fontId="22" fillId="0" borderId="1" xfId="0" applyNumberFormat="1" applyFont="1" applyBorder="1"/>
    <xf numFmtId="164" fontId="19" fillId="0" borderId="0" xfId="0" applyNumberFormat="1" applyFont="1"/>
    <xf numFmtId="165" fontId="19" fillId="0" borderId="1" xfId="1" applyNumberFormat="1" applyFont="1" applyBorder="1"/>
    <xf numFmtId="165" fontId="19" fillId="0" borderId="1" xfId="0" applyNumberFormat="1" applyFont="1" applyBorder="1"/>
    <xf numFmtId="0" fontId="37" fillId="0" borderId="1" xfId="0" applyFont="1" applyFill="1" applyBorder="1" applyAlignment="1">
      <alignment wrapText="1"/>
    </xf>
    <xf numFmtId="164" fontId="18" fillId="0" borderId="1" xfId="1" applyFont="1" applyBorder="1"/>
    <xf numFmtId="0" fontId="37" fillId="0" borderId="0" xfId="0" applyFont="1"/>
    <xf numFmtId="165" fontId="18" fillId="0" borderId="1" xfId="0" applyNumberFormat="1" applyFont="1" applyBorder="1"/>
    <xf numFmtId="0" fontId="31" fillId="0" borderId="4" xfId="0" applyFont="1" applyBorder="1"/>
    <xf numFmtId="0" fontId="31" fillId="0" borderId="4" xfId="0" applyFont="1" applyBorder="1" applyAlignment="1">
      <alignment horizontal="center"/>
    </xf>
    <xf numFmtId="0" fontId="38" fillId="0" borderId="1" xfId="0" applyFont="1" applyBorder="1"/>
    <xf numFmtId="0" fontId="31" fillId="0" borderId="1" xfId="0" applyFont="1" applyBorder="1" applyAlignment="1">
      <alignment horizontal="right"/>
    </xf>
    <xf numFmtId="9" fontId="31" fillId="0" borderId="1" xfId="0" applyNumberFormat="1" applyFont="1" applyBorder="1" applyAlignment="1">
      <alignment horizontal="right"/>
    </xf>
    <xf numFmtId="10" fontId="31" fillId="0" borderId="1" xfId="0" applyNumberFormat="1" applyFont="1" applyBorder="1" applyAlignment="1">
      <alignment horizontal="right"/>
    </xf>
    <xf numFmtId="0" fontId="22" fillId="0" borderId="1" xfId="0" applyFont="1" applyFill="1" applyBorder="1" applyAlignment="1">
      <alignment wrapText="1"/>
    </xf>
    <xf numFmtId="165" fontId="19" fillId="0" borderId="1" xfId="1" applyNumberFormat="1" applyFont="1" applyFill="1" applyBorder="1"/>
    <xf numFmtId="0" fontId="18" fillId="0" borderId="1" xfId="0" applyFont="1" applyFill="1" applyBorder="1"/>
    <xf numFmtId="0" fontId="39" fillId="0" borderId="0" xfId="0" applyFont="1" applyBorder="1"/>
    <xf numFmtId="10" fontId="19" fillId="0" borderId="1" xfId="2" applyNumberFormat="1" applyFont="1" applyBorder="1" applyAlignment="1">
      <alignment horizontal="center"/>
    </xf>
    <xf numFmtId="9" fontId="19" fillId="0" borderId="0" xfId="0" applyNumberFormat="1" applyFont="1" applyAlignment="1">
      <alignment horizontal="center"/>
    </xf>
    <xf numFmtId="2" fontId="18" fillId="0" borderId="1" xfId="0" applyNumberFormat="1" applyFont="1" applyBorder="1" applyAlignment="1">
      <alignment horizontal="right"/>
    </xf>
    <xf numFmtId="10" fontId="18" fillId="0" borderId="1" xfId="2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0" fontId="19" fillId="0" borderId="0" xfId="0" applyNumberFormat="1" applyFont="1"/>
    <xf numFmtId="9" fontId="19" fillId="0" borderId="0" xfId="0" applyNumberFormat="1" applyFont="1"/>
    <xf numFmtId="0" fontId="21" fillId="2" borderId="0" xfId="0" applyFont="1" applyFill="1" applyBorder="1" applyAlignment="1">
      <alignment horizontal="center"/>
    </xf>
    <xf numFmtId="0" fontId="22" fillId="0" borderId="0" xfId="0" applyFont="1" applyBorder="1"/>
    <xf numFmtId="9" fontId="31" fillId="0" borderId="0" xfId="0" applyNumberFormat="1" applyFont="1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164" fontId="18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7" fontId="24" fillId="0" borderId="1" xfId="1" applyNumberFormat="1" applyFont="1" applyBorder="1"/>
    <xf numFmtId="0" fontId="34" fillId="0" borderId="1" xfId="0" applyFont="1" applyFill="1" applyBorder="1" applyAlignment="1">
      <alignment wrapText="1"/>
    </xf>
    <xf numFmtId="164" fontId="34" fillId="0" borderId="1" xfId="1" applyFont="1" applyFill="1" applyBorder="1"/>
    <xf numFmtId="2" fontId="34" fillId="0" borderId="1" xfId="0" applyNumberFormat="1" applyFont="1" applyBorder="1"/>
    <xf numFmtId="0" fontId="24" fillId="0" borderId="0" xfId="0" applyFont="1"/>
    <xf numFmtId="0" fontId="34" fillId="0" borderId="1" xfId="0" applyFont="1" applyBorder="1"/>
    <xf numFmtId="164" fontId="34" fillId="0" borderId="1" xfId="1" applyFont="1" applyBorder="1"/>
    <xf numFmtId="9" fontId="34" fillId="0" borderId="1" xfId="0" applyNumberFormat="1" applyFont="1" applyBorder="1" applyAlignment="1">
      <alignment horizontal="right"/>
    </xf>
    <xf numFmtId="0" fontId="34" fillId="0" borderId="1" xfId="0" applyFont="1" applyFill="1" applyBorder="1"/>
    <xf numFmtId="0" fontId="24" fillId="0" borderId="1" xfId="0" applyFont="1" applyBorder="1" applyAlignment="1">
      <alignment vertical="center"/>
    </xf>
    <xf numFmtId="0" fontId="21" fillId="2" borderId="0" xfId="0" applyFont="1" applyFill="1"/>
    <xf numFmtId="9" fontId="22" fillId="0" borderId="0" xfId="0" applyNumberFormat="1" applyFont="1"/>
    <xf numFmtId="10" fontId="22" fillId="0" borderId="0" xfId="0" applyNumberFormat="1" applyFont="1"/>
    <xf numFmtId="164" fontId="22" fillId="0" borderId="0" xfId="0" applyNumberFormat="1" applyFont="1"/>
    <xf numFmtId="0" fontId="28" fillId="0" borderId="0" xfId="0" applyFont="1"/>
    <xf numFmtId="0" fontId="31" fillId="7" borderId="0" xfId="0" applyFont="1" applyFill="1"/>
    <xf numFmtId="164" fontId="31" fillId="7" borderId="0" xfId="1" applyFont="1" applyFill="1"/>
    <xf numFmtId="0" fontId="31" fillId="0" borderId="0" xfId="0" applyFont="1"/>
    <xf numFmtId="0" fontId="31" fillId="5" borderId="0" xfId="0" applyFont="1" applyFill="1"/>
    <xf numFmtId="10" fontId="31" fillId="5" borderId="0" xfId="0" applyNumberFormat="1" applyFont="1" applyFill="1"/>
    <xf numFmtId="10" fontId="31" fillId="5" borderId="0" xfId="2" applyNumberFormat="1" applyFont="1" applyFill="1"/>
    <xf numFmtId="0" fontId="21" fillId="2" borderId="0" xfId="0" applyFont="1" applyFill="1" applyAlignment="1">
      <alignment horizontal="center"/>
    </xf>
    <xf numFmtId="9" fontId="22" fillId="0" borderId="1" xfId="2" applyFont="1" applyBorder="1"/>
    <xf numFmtId="0" fontId="31" fillId="5" borderId="1" xfId="0" applyFont="1" applyFill="1" applyBorder="1"/>
    <xf numFmtId="10" fontId="31" fillId="5" borderId="1" xfId="2" applyNumberFormat="1" applyFont="1" applyFill="1" applyBorder="1"/>
    <xf numFmtId="0" fontId="31" fillId="4" borderId="1" xfId="0" applyFont="1" applyFill="1" applyBorder="1"/>
    <xf numFmtId="164" fontId="31" fillId="4" borderId="1" xfId="0" applyNumberFormat="1" applyFont="1" applyFill="1" applyBorder="1"/>
    <xf numFmtId="0" fontId="29" fillId="0" borderId="0" xfId="0" applyFont="1" applyAlignment="1">
      <alignment horizontal="center"/>
    </xf>
    <xf numFmtId="0" fontId="18" fillId="5" borderId="1" xfId="0" applyFont="1" applyFill="1" applyBorder="1"/>
    <xf numFmtId="2" fontId="18" fillId="5" borderId="1" xfId="0" applyNumberFormat="1" applyFont="1" applyFill="1" applyBorder="1"/>
    <xf numFmtId="164" fontId="18" fillId="5" borderId="1" xfId="0" applyNumberFormat="1" applyFont="1" applyFill="1" applyBorder="1"/>
    <xf numFmtId="2" fontId="19" fillId="0" borderId="0" xfId="0" applyNumberFormat="1" applyFont="1"/>
    <xf numFmtId="2" fontId="18" fillId="0" borderId="0" xfId="0" applyNumberFormat="1" applyFont="1"/>
    <xf numFmtId="39" fontId="29" fillId="0" borderId="1" xfId="1" applyNumberFormat="1" applyFont="1" applyFill="1" applyBorder="1" applyAlignment="1">
      <alignment wrapText="1"/>
    </xf>
    <xf numFmtId="0" fontId="30" fillId="0" borderId="1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left" wrapText="1"/>
    </xf>
    <xf numFmtId="165" fontId="22" fillId="0" borderId="0" xfId="0" applyNumberFormat="1" applyFont="1"/>
    <xf numFmtId="0" fontId="31" fillId="0" borderId="0" xfId="0" applyFont="1" applyFill="1"/>
    <xf numFmtId="164" fontId="31" fillId="0" borderId="1" xfId="1" applyFont="1" applyFill="1" applyBorder="1" applyAlignment="1">
      <alignment horizontal="right" vertical="top"/>
    </xf>
    <xf numFmtId="2" fontId="22" fillId="0" borderId="1" xfId="0" applyNumberFormat="1" applyFont="1" applyFill="1" applyBorder="1"/>
    <xf numFmtId="43" fontId="22" fillId="0" borderId="0" xfId="0" applyNumberFormat="1" applyFont="1" applyFill="1"/>
    <xf numFmtId="2" fontId="22" fillId="0" borderId="0" xfId="0" applyNumberFormat="1" applyFont="1" applyFill="1"/>
    <xf numFmtId="2" fontId="22" fillId="0" borderId="1" xfId="0" applyNumberFormat="1" applyFont="1" applyFill="1" applyBorder="1" applyAlignment="1">
      <alignment horizontal="right"/>
    </xf>
    <xf numFmtId="164" fontId="22" fillId="0" borderId="1" xfId="1" applyFont="1" applyFill="1" applyBorder="1" applyAlignment="1">
      <alignment horizontal="right"/>
    </xf>
    <xf numFmtId="43" fontId="22" fillId="0" borderId="1" xfId="0" applyNumberFormat="1" applyFont="1" applyFill="1" applyBorder="1"/>
    <xf numFmtId="164" fontId="33" fillId="0" borderId="1" xfId="1" applyFont="1" applyFill="1" applyBorder="1"/>
    <xf numFmtId="164" fontId="31" fillId="0" borderId="0" xfId="1" applyFont="1" applyFill="1" applyBorder="1"/>
    <xf numFmtId="164" fontId="22" fillId="0" borderId="0" xfId="0" applyNumberFormat="1" applyFont="1" applyFill="1"/>
    <xf numFmtId="164" fontId="22" fillId="0" borderId="0" xfId="1" applyFont="1" applyFill="1"/>
    <xf numFmtId="4" fontId="22" fillId="0" borderId="0" xfId="0" applyNumberFormat="1" applyFont="1" applyFill="1"/>
    <xf numFmtId="0" fontId="18" fillId="0" borderId="1" xfId="0" applyFont="1" applyBorder="1" applyAlignment="1">
      <alignment horizontal="left"/>
    </xf>
    <xf numFmtId="1" fontId="31" fillId="0" borderId="1" xfId="0" applyNumberFormat="1" applyFont="1" applyBorder="1" applyAlignment="1">
      <alignment horizontal="center"/>
    </xf>
    <xf numFmtId="164" fontId="24" fillId="0" borderId="0" xfId="1" applyFont="1" applyAlignment="1">
      <alignment wrapText="1"/>
    </xf>
    <xf numFmtId="164" fontId="35" fillId="0" borderId="1" xfId="0" applyNumberFormat="1" applyFont="1" applyBorder="1" applyAlignment="1">
      <alignment wrapText="1"/>
    </xf>
    <xf numFmtId="164" fontId="24" fillId="0" borderId="0" xfId="0" applyNumberFormat="1" applyFont="1" applyAlignment="1">
      <alignment wrapText="1"/>
    </xf>
    <xf numFmtId="9" fontId="24" fillId="0" borderId="1" xfId="0" applyNumberFormat="1" applyFont="1" applyBorder="1" applyAlignment="1">
      <alignment wrapText="1"/>
    </xf>
    <xf numFmtId="164" fontId="35" fillId="0" borderId="1" xfId="1" applyFont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right" wrapText="1"/>
    </xf>
    <xf numFmtId="164" fontId="24" fillId="0" borderId="1" xfId="1" applyFont="1" applyFill="1" applyBorder="1" applyAlignment="1">
      <alignment wrapText="1"/>
    </xf>
    <xf numFmtId="0" fontId="25" fillId="0" borderId="0" xfId="0" applyFont="1" applyAlignment="1">
      <alignment wrapText="1"/>
    </xf>
    <xf numFmtId="0" fontId="24" fillId="0" borderId="1" xfId="0" applyFont="1" applyBorder="1" applyAlignment="1">
      <alignment horizontal="right" wrapText="1"/>
    </xf>
    <xf numFmtId="164" fontId="25" fillId="0" borderId="0" xfId="0" applyNumberFormat="1" applyFont="1" applyAlignment="1">
      <alignment wrapText="1"/>
    </xf>
    <xf numFmtId="0" fontId="34" fillId="0" borderId="0" xfId="0" applyFont="1" applyAlignment="1">
      <alignment wrapText="1"/>
    </xf>
    <xf numFmtId="0" fontId="34" fillId="0" borderId="1" xfId="0" applyFont="1" applyBorder="1" applyAlignment="1">
      <alignment horizontal="center" wrapText="1"/>
    </xf>
    <xf numFmtId="164" fontId="34" fillId="0" borderId="1" xfId="1" applyFont="1" applyBorder="1" applyAlignment="1">
      <alignment horizontal="right" wrapText="1"/>
    </xf>
    <xf numFmtId="0" fontId="34" fillId="0" borderId="1" xfId="0" applyFont="1" applyFill="1" applyBorder="1" applyAlignment="1">
      <alignment horizontal="center" wrapText="1"/>
    </xf>
    <xf numFmtId="164" fontId="34" fillId="0" borderId="1" xfId="1" applyFont="1" applyBorder="1" applyAlignment="1">
      <alignment wrapText="1"/>
    </xf>
    <xf numFmtId="0" fontId="19" fillId="0" borderId="0" xfId="0" applyFont="1" applyFill="1"/>
    <xf numFmtId="164" fontId="19" fillId="0" borderId="0" xfId="1" applyFont="1"/>
    <xf numFmtId="10" fontId="19" fillId="0" borderId="0" xfId="2" applyNumberFormat="1" applyFont="1"/>
    <xf numFmtId="0" fontId="19" fillId="0" borderId="0" xfId="0" applyFont="1" applyBorder="1"/>
    <xf numFmtId="0" fontId="39" fillId="0" borderId="0" xfId="0" applyFont="1"/>
    <xf numFmtId="0" fontId="19" fillId="2" borderId="0" xfId="0" applyFont="1" applyFill="1" applyAlignment="1">
      <alignment horizontal="center"/>
    </xf>
    <xf numFmtId="10" fontId="22" fillId="0" borderId="0" xfId="0" applyNumberFormat="1" applyFont="1" applyBorder="1"/>
    <xf numFmtId="0" fontId="31" fillId="0" borderId="0" xfId="0" applyFont="1" applyFill="1" applyBorder="1"/>
    <xf numFmtId="0" fontId="19" fillId="0" borderId="0" xfId="0" applyFont="1" applyBorder="1" applyAlignment="1">
      <alignment horizontal="right" wrapText="1"/>
    </xf>
    <xf numFmtId="164" fontId="19" fillId="0" borderId="3" xfId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4" fontId="18" fillId="0" borderId="1" xfId="1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164" fontId="19" fillId="0" borderId="3" xfId="1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2" fontId="19" fillId="0" borderId="5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1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0" fontId="41" fillId="0" borderId="21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9" fillId="0" borderId="4" xfId="1" applyFont="1" applyBorder="1" applyAlignment="1">
      <alignment horizontal="center" vertical="center"/>
    </xf>
    <xf numFmtId="164" fontId="19" fillId="0" borderId="3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23" fillId="2" borderId="7" xfId="0" applyFont="1" applyFill="1" applyBorder="1" applyAlignment="1">
      <alignment horizont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2" fontId="19" fillId="0" borderId="8" xfId="0" applyNumberFormat="1" applyFont="1" applyBorder="1" applyAlignment="1">
      <alignment horizontal="center"/>
    </xf>
    <xf numFmtId="2" fontId="19" fillId="0" borderId="9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2" fontId="24" fillId="0" borderId="8" xfId="0" applyNumberFormat="1" applyFont="1" applyBorder="1" applyAlignment="1">
      <alignment horizontal="center"/>
    </xf>
    <xf numFmtId="2" fontId="18" fillId="5" borderId="8" xfId="0" applyNumberFormat="1" applyFont="1" applyFill="1" applyBorder="1" applyAlignment="1">
      <alignment horizontal="center"/>
    </xf>
    <xf numFmtId="2" fontId="18" fillId="5" borderId="9" xfId="0" applyNumberFormat="1" applyFont="1" applyFill="1" applyBorder="1" applyAlignment="1">
      <alignment horizontal="center"/>
    </xf>
    <xf numFmtId="2" fontId="18" fillId="5" borderId="2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4" fontId="29" fillId="0" borderId="8" xfId="0" applyNumberFormat="1" applyFont="1" applyBorder="1" applyAlignment="1">
      <alignment horizontal="center"/>
    </xf>
    <xf numFmtId="4" fontId="29" fillId="0" borderId="9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/>
    </xf>
    <xf numFmtId="2" fontId="13" fillId="5" borderId="8" xfId="0" applyNumberFormat="1" applyFont="1" applyFill="1" applyBorder="1" applyAlignment="1">
      <alignment horizontal="center"/>
    </xf>
    <xf numFmtId="2" fontId="13" fillId="5" borderId="9" xfId="0" applyNumberFormat="1" applyFont="1" applyFill="1" applyBorder="1" applyAlignment="1">
      <alignment horizontal="center"/>
    </xf>
    <xf numFmtId="2" fontId="13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6" fillId="11" borderId="16" xfId="0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164" fontId="7" fillId="0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SMART%20Project/VSTF%20Cluster%20Projects/Ner%20Cluster/Ner%20Cluster%20Financials_S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ADB/Baramati/Further%20Revised%20MSAMB%20Baramati%20Facility_B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nue-Dairy Farm"/>
      <sheetName val="Revenue-Dairy Processing"/>
      <sheetName val="Project Cost"/>
      <sheetName val="summary1"/>
      <sheetName val="Assumptions"/>
      <sheetName val="Benefit to farmer"/>
      <sheetName val="C&amp; G"/>
      <sheetName val="Custom Hiring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>
            <v>1</v>
          </cell>
          <cell r="D1">
            <v>1.03</v>
          </cell>
          <cell r="E1">
            <v>1.06</v>
          </cell>
          <cell r="F1">
            <v>1.0900000000000001</v>
          </cell>
          <cell r="G1">
            <v>1.1200000000000001</v>
          </cell>
          <cell r="H1">
            <v>1.1499999999999999</v>
          </cell>
          <cell r="I1">
            <v>1.18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Project"/>
      <sheetName val="Main Bldg Civil Works"/>
      <sheetName val="P&amp;M, Utilities and MHE"/>
      <sheetName val="Main Sheets Links"/>
      <sheetName val="Key Assumptions"/>
      <sheetName val="PC and MOF"/>
      <sheetName val="Depn"/>
      <sheetName val="Grapes Grading"/>
      <sheetName val="Banana Grading"/>
      <sheetName val="Pomo Grading"/>
      <sheetName val="PC and Cold Storage"/>
      <sheetName val="Arils Processing"/>
      <sheetName val="Beverage Proc."/>
      <sheetName val="Weighbridge Services"/>
      <sheetName val="Manpower"/>
      <sheetName val="Operating Days"/>
      <sheetName val="WC Assessment"/>
      <sheetName val="Interest"/>
      <sheetName val="Power"/>
      <sheetName val="Opex Sched"/>
      <sheetName val="P&amp;L"/>
      <sheetName val="Tax Schedule"/>
      <sheetName val="BS"/>
      <sheetName val="CF"/>
      <sheetName val="Ratios"/>
      <sheetName val="Sensitivity Analysis"/>
      <sheetName val="Without Project Analysis"/>
      <sheetName val="FPO VCO Benefit---&gt;"/>
      <sheetName val="Summary-Economic"/>
      <sheetName val="Pomo-FPO benefit"/>
      <sheetName val="Banana-FPO benefit"/>
      <sheetName val="Grapes-FPO Benefit"/>
      <sheetName val="Project Influence"/>
      <sheetName val="Prices and Yields"/>
      <sheetName val="Turnover of Service Us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D3">
            <v>4.9190283400809713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95"/>
  <sheetViews>
    <sheetView view="pageBreakPreview" topLeftCell="A3" zoomScale="60" zoomScaleNormal="100" workbookViewId="0">
      <selection activeCell="H22" sqref="H22"/>
    </sheetView>
  </sheetViews>
  <sheetFormatPr defaultRowHeight="14.25" x14ac:dyDescent="0.2"/>
  <cols>
    <col min="1" max="1" width="9.140625" style="133"/>
    <col min="2" max="2" width="73.7109375" style="133" customWidth="1"/>
    <col min="3" max="3" width="12.85546875" style="133" bestFit="1" customWidth="1"/>
    <col min="4" max="7" width="9.140625" style="133"/>
    <col min="8" max="8" width="39.85546875" style="133" customWidth="1"/>
    <col min="9" max="14" width="9.140625" style="133"/>
    <col min="15" max="15" width="9.140625" style="133" customWidth="1"/>
    <col min="16" max="16384" width="9.140625" style="133"/>
  </cols>
  <sheetData>
    <row r="5" spans="1:12" ht="30" x14ac:dyDescent="0.2">
      <c r="A5" s="243" t="s">
        <v>395</v>
      </c>
      <c r="B5" s="243" t="s">
        <v>396</v>
      </c>
      <c r="C5" s="244" t="s">
        <v>397</v>
      </c>
    </row>
    <row r="6" spans="1:12" ht="15" x14ac:dyDescent="0.2">
      <c r="A6" s="243">
        <v>1</v>
      </c>
      <c r="B6" s="245" t="s">
        <v>398</v>
      </c>
      <c r="C6" s="246">
        <v>92.18</v>
      </c>
    </row>
    <row r="7" spans="1:12" x14ac:dyDescent="0.2">
      <c r="A7" s="247"/>
      <c r="B7" s="248" t="s">
        <v>643</v>
      </c>
      <c r="C7" s="355"/>
    </row>
    <row r="8" spans="1:12" x14ac:dyDescent="0.2">
      <c r="A8" s="247" t="s">
        <v>77</v>
      </c>
      <c r="B8" s="249" t="s">
        <v>399</v>
      </c>
      <c r="C8" s="356"/>
    </row>
    <row r="9" spans="1:12" x14ac:dyDescent="0.2">
      <c r="A9" s="247" t="s">
        <v>82</v>
      </c>
      <c r="B9" s="261" t="s">
        <v>400</v>
      </c>
      <c r="C9" s="356"/>
      <c r="D9" s="133" t="s">
        <v>676</v>
      </c>
      <c r="I9" s="133" t="s">
        <v>677</v>
      </c>
    </row>
    <row r="10" spans="1:12" x14ac:dyDescent="0.2">
      <c r="A10" s="247" t="s">
        <v>83</v>
      </c>
      <c r="B10" s="249" t="s">
        <v>584</v>
      </c>
      <c r="C10" s="356"/>
      <c r="D10" s="133" t="s">
        <v>678</v>
      </c>
      <c r="I10" s="133">
        <f>5.25+10.5+1.26</f>
        <v>17.010000000000002</v>
      </c>
      <c r="J10" s="133" t="s">
        <v>679</v>
      </c>
    </row>
    <row r="11" spans="1:12" x14ac:dyDescent="0.2">
      <c r="A11" s="247" t="s">
        <v>401</v>
      </c>
      <c r="B11" s="249" t="s">
        <v>644</v>
      </c>
      <c r="C11" s="356"/>
    </row>
    <row r="12" spans="1:12" x14ac:dyDescent="0.2">
      <c r="A12" s="250" t="s">
        <v>402</v>
      </c>
      <c r="B12" s="249" t="s">
        <v>713</v>
      </c>
      <c r="C12" s="357"/>
    </row>
    <row r="13" spans="1:12" ht="15" x14ac:dyDescent="0.2">
      <c r="A13" s="251">
        <v>2</v>
      </c>
      <c r="B13" s="245" t="s">
        <v>656</v>
      </c>
      <c r="C13" s="246">
        <v>89.81</v>
      </c>
      <c r="L13" s="239"/>
    </row>
    <row r="14" spans="1:12" x14ac:dyDescent="0.2">
      <c r="A14" s="247" t="s">
        <v>77</v>
      </c>
      <c r="B14" s="249" t="s">
        <v>645</v>
      </c>
      <c r="C14" s="355"/>
      <c r="L14" s="239"/>
    </row>
    <row r="15" spans="1:12" x14ac:dyDescent="0.2">
      <c r="A15" s="247" t="s">
        <v>82</v>
      </c>
      <c r="B15" s="249" t="s">
        <v>657</v>
      </c>
      <c r="C15" s="356"/>
      <c r="L15" s="239"/>
    </row>
    <row r="16" spans="1:12" x14ac:dyDescent="0.2">
      <c r="A16" s="247" t="s">
        <v>83</v>
      </c>
      <c r="B16" s="249" t="s">
        <v>658</v>
      </c>
      <c r="C16" s="356"/>
    </row>
    <row r="17" spans="1:3" x14ac:dyDescent="0.2">
      <c r="A17" s="247" t="s">
        <v>401</v>
      </c>
      <c r="B17" s="249" t="s">
        <v>659</v>
      </c>
      <c r="C17" s="356"/>
    </row>
    <row r="18" spans="1:3" x14ac:dyDescent="0.2">
      <c r="A18" s="247" t="s">
        <v>402</v>
      </c>
      <c r="B18" s="249" t="s">
        <v>660</v>
      </c>
      <c r="C18" s="356"/>
    </row>
    <row r="19" spans="1:3" x14ac:dyDescent="0.2">
      <c r="A19" s="247" t="s">
        <v>403</v>
      </c>
      <c r="B19" s="249" t="s">
        <v>661</v>
      </c>
      <c r="C19" s="356"/>
    </row>
    <row r="20" spans="1:3" x14ac:dyDescent="0.2">
      <c r="A20" s="247" t="s">
        <v>583</v>
      </c>
      <c r="B20" s="249" t="s">
        <v>662</v>
      </c>
      <c r="C20" s="356"/>
    </row>
    <row r="21" spans="1:3" x14ac:dyDescent="0.2">
      <c r="A21" s="247" t="s">
        <v>605</v>
      </c>
      <c r="B21" s="249" t="s">
        <v>663</v>
      </c>
      <c r="C21" s="356"/>
    </row>
    <row r="22" spans="1:3" x14ac:dyDescent="0.2">
      <c r="A22" s="247" t="s">
        <v>606</v>
      </c>
      <c r="B22" s="249" t="s">
        <v>664</v>
      </c>
      <c r="C22" s="356"/>
    </row>
    <row r="23" spans="1:3" x14ac:dyDescent="0.2">
      <c r="A23" s="247" t="s">
        <v>607</v>
      </c>
      <c r="B23" s="249" t="s">
        <v>665</v>
      </c>
      <c r="C23" s="356"/>
    </row>
    <row r="24" spans="1:3" x14ac:dyDescent="0.2">
      <c r="A24" s="247" t="s">
        <v>608</v>
      </c>
      <c r="B24" s="249" t="s">
        <v>666</v>
      </c>
      <c r="C24" s="356"/>
    </row>
    <row r="25" spans="1:3" x14ac:dyDescent="0.2">
      <c r="A25" s="247" t="s">
        <v>646</v>
      </c>
      <c r="B25" s="249" t="s">
        <v>667</v>
      </c>
      <c r="C25" s="356"/>
    </row>
    <row r="26" spans="1:3" x14ac:dyDescent="0.2">
      <c r="A26" s="247" t="s">
        <v>555</v>
      </c>
      <c r="B26" s="249" t="s">
        <v>668</v>
      </c>
      <c r="C26" s="356"/>
    </row>
    <row r="27" spans="1:3" x14ac:dyDescent="0.2">
      <c r="A27" s="247" t="s">
        <v>647</v>
      </c>
      <c r="B27" s="249" t="s">
        <v>669</v>
      </c>
      <c r="C27" s="356"/>
    </row>
    <row r="28" spans="1:3" x14ac:dyDescent="0.2">
      <c r="A28" s="247" t="s">
        <v>648</v>
      </c>
      <c r="B28" s="249" t="s">
        <v>670</v>
      </c>
      <c r="C28" s="356"/>
    </row>
    <row r="29" spans="1:3" x14ac:dyDescent="0.2">
      <c r="A29" s="247" t="s">
        <v>649</v>
      </c>
      <c r="B29" s="249" t="s">
        <v>671</v>
      </c>
      <c r="C29" s="356"/>
    </row>
    <row r="30" spans="1:3" x14ac:dyDescent="0.2">
      <c r="A30" s="247" t="s">
        <v>707</v>
      </c>
      <c r="B30" s="249" t="s">
        <v>710</v>
      </c>
      <c r="C30" s="329"/>
    </row>
    <row r="31" spans="1:3" x14ac:dyDescent="0.2">
      <c r="A31" s="247" t="s">
        <v>708</v>
      </c>
      <c r="B31" s="249" t="s">
        <v>711</v>
      </c>
      <c r="C31" s="329"/>
    </row>
    <row r="32" spans="1:3" x14ac:dyDescent="0.2">
      <c r="A32" s="247" t="s">
        <v>709</v>
      </c>
      <c r="B32" s="249" t="s">
        <v>712</v>
      </c>
      <c r="C32" s="329"/>
    </row>
    <row r="33" spans="1:5" ht="15" x14ac:dyDescent="0.2">
      <c r="A33" s="243">
        <v>3</v>
      </c>
      <c r="B33" s="330" t="s">
        <v>609</v>
      </c>
      <c r="C33" s="331">
        <v>10.5</v>
      </c>
    </row>
    <row r="34" spans="1:5" x14ac:dyDescent="0.2">
      <c r="A34" s="332" t="s">
        <v>77</v>
      </c>
      <c r="B34" s="333" t="s">
        <v>650</v>
      </c>
      <c r="C34" s="334"/>
    </row>
    <row r="35" spans="1:5" ht="15" hidden="1" customHeight="1" x14ac:dyDescent="0.2">
      <c r="A35" s="243">
        <v>4</v>
      </c>
      <c r="B35" s="335" t="s">
        <v>610</v>
      </c>
      <c r="C35" s="331">
        <v>0</v>
      </c>
    </row>
    <row r="36" spans="1:5" ht="15" hidden="1" customHeight="1" x14ac:dyDescent="0.2">
      <c r="A36" s="247" t="s">
        <v>77</v>
      </c>
      <c r="B36" s="248" t="s">
        <v>611</v>
      </c>
      <c r="C36" s="356"/>
    </row>
    <row r="37" spans="1:5" ht="15" hidden="1" customHeight="1" x14ac:dyDescent="0.2">
      <c r="A37" s="247" t="s">
        <v>82</v>
      </c>
      <c r="B37" s="333" t="s">
        <v>612</v>
      </c>
      <c r="C37" s="356"/>
    </row>
    <row r="38" spans="1:5" ht="15" hidden="1" customHeight="1" x14ac:dyDescent="0.2">
      <c r="A38" s="247" t="s">
        <v>83</v>
      </c>
      <c r="B38" s="116" t="s">
        <v>613</v>
      </c>
      <c r="C38" s="357"/>
    </row>
    <row r="39" spans="1:5" ht="15" x14ac:dyDescent="0.2">
      <c r="A39" s="243">
        <v>4</v>
      </c>
      <c r="B39" s="245" t="s">
        <v>585</v>
      </c>
      <c r="C39" s="246">
        <v>0</v>
      </c>
    </row>
    <row r="40" spans="1:5" x14ac:dyDescent="0.2">
      <c r="A40" s="247" t="s">
        <v>77</v>
      </c>
      <c r="B40" s="249" t="s">
        <v>556</v>
      </c>
      <c r="C40" s="354"/>
    </row>
    <row r="41" spans="1:5" x14ac:dyDescent="0.2">
      <c r="A41" s="247" t="s">
        <v>82</v>
      </c>
      <c r="B41" s="249" t="s">
        <v>557</v>
      </c>
      <c r="C41" s="354"/>
    </row>
    <row r="42" spans="1:5" ht="15" x14ac:dyDescent="0.2">
      <c r="A42" s="243">
        <v>5</v>
      </c>
      <c r="B42" s="245" t="s">
        <v>614</v>
      </c>
      <c r="C42" s="246">
        <v>3.15</v>
      </c>
    </row>
    <row r="43" spans="1:5" x14ac:dyDescent="0.2">
      <c r="A43" s="140" t="s">
        <v>77</v>
      </c>
      <c r="B43" s="249" t="s">
        <v>737</v>
      </c>
      <c r="C43" s="355"/>
    </row>
    <row r="44" spans="1:5" x14ac:dyDescent="0.2">
      <c r="A44" s="140" t="s">
        <v>82</v>
      </c>
      <c r="B44" s="249" t="s">
        <v>615</v>
      </c>
      <c r="C44" s="356"/>
    </row>
    <row r="45" spans="1:5" x14ac:dyDescent="0.2">
      <c r="A45" s="140" t="s">
        <v>83</v>
      </c>
      <c r="B45" s="249" t="s">
        <v>672</v>
      </c>
      <c r="C45" s="329"/>
    </row>
    <row r="46" spans="1:5" ht="15" x14ac:dyDescent="0.2">
      <c r="A46" s="243">
        <v>6</v>
      </c>
      <c r="B46" s="245" t="s">
        <v>559</v>
      </c>
      <c r="C46" s="246">
        <f>+SUM(C6:C42)*5%</f>
        <v>9.7820000000000018</v>
      </c>
    </row>
    <row r="47" spans="1:5" ht="15" x14ac:dyDescent="0.2">
      <c r="A47" s="247"/>
      <c r="B47" s="336" t="s">
        <v>558</v>
      </c>
      <c r="C47" s="246">
        <f>SUM(C6:C46)</f>
        <v>205.42200000000003</v>
      </c>
      <c r="E47" s="133">
        <f>10+5.25+10.5+1.26</f>
        <v>27.01</v>
      </c>
    </row>
    <row r="48" spans="1:5" ht="15" customHeight="1" x14ac:dyDescent="0.2">
      <c r="A48" s="337"/>
      <c r="B48" s="338"/>
      <c r="C48" s="339"/>
    </row>
    <row r="49" spans="1:13" ht="15" x14ac:dyDescent="0.2">
      <c r="A49" s="337"/>
      <c r="B49" s="340" t="s">
        <v>586</v>
      </c>
      <c r="C49" s="341">
        <f>+'Project Glance'!B13</f>
        <v>2.3819333333333339</v>
      </c>
    </row>
    <row r="50" spans="1:13" ht="15" x14ac:dyDescent="0.2">
      <c r="A50" s="352"/>
      <c r="B50" s="353"/>
      <c r="C50" s="342"/>
    </row>
    <row r="51" spans="1:13" ht="15" customHeight="1" x14ac:dyDescent="0.2">
      <c r="A51" s="243"/>
      <c r="B51" s="330"/>
      <c r="C51" s="243"/>
    </row>
    <row r="52" spans="1:13" x14ac:dyDescent="0.2">
      <c r="A52" s="343"/>
      <c r="B52" s="344"/>
      <c r="C52" s="343"/>
    </row>
    <row r="53" spans="1:13" ht="15" x14ac:dyDescent="0.2">
      <c r="A53" s="345"/>
      <c r="B53" s="346"/>
      <c r="C53" s="345"/>
    </row>
    <row r="54" spans="1:13" x14ac:dyDescent="0.2">
      <c r="A54" s="343"/>
      <c r="B54" s="347"/>
      <c r="C54" s="343"/>
    </row>
    <row r="55" spans="1:13" ht="15" x14ac:dyDescent="0.2">
      <c r="A55" s="343"/>
      <c r="B55" s="348"/>
      <c r="C55" s="349"/>
    </row>
    <row r="56" spans="1:13" x14ac:dyDescent="0.2">
      <c r="A56" s="323"/>
      <c r="B56" s="323"/>
      <c r="C56" s="323"/>
    </row>
    <row r="57" spans="1:13" x14ac:dyDescent="0.2">
      <c r="A57" s="323"/>
      <c r="B57" s="350"/>
      <c r="C57" s="323"/>
    </row>
    <row r="58" spans="1:13" ht="15" thickBot="1" x14ac:dyDescent="0.25"/>
    <row r="59" spans="1:13" ht="15.75" thickBot="1" x14ac:dyDescent="0.25">
      <c r="G59" s="100" t="s">
        <v>680</v>
      </c>
      <c r="H59" s="101" t="s">
        <v>681</v>
      </c>
      <c r="I59" s="101"/>
      <c r="J59" s="101"/>
      <c r="K59" s="101"/>
      <c r="L59" s="101"/>
      <c r="M59" s="101"/>
    </row>
    <row r="60" spans="1:13" ht="29.25" thickBot="1" x14ac:dyDescent="0.25">
      <c r="G60" s="112">
        <v>1</v>
      </c>
      <c r="H60" s="102" t="s">
        <v>682</v>
      </c>
      <c r="I60" s="103" t="s">
        <v>683</v>
      </c>
      <c r="J60" s="103" t="s">
        <v>684</v>
      </c>
      <c r="K60" s="103">
        <v>1</v>
      </c>
      <c r="L60" s="103" t="s">
        <v>685</v>
      </c>
      <c r="M60" s="103">
        <v>127.74</v>
      </c>
    </row>
    <row r="61" spans="1:13" ht="15" thickBot="1" x14ac:dyDescent="0.25">
      <c r="G61" s="112"/>
      <c r="H61" s="102"/>
      <c r="I61" s="103"/>
      <c r="J61" s="103"/>
      <c r="K61" s="103"/>
      <c r="L61" s="103"/>
      <c r="M61" s="103"/>
    </row>
    <row r="62" spans="1:13" ht="15" thickBot="1" x14ac:dyDescent="0.25">
      <c r="G62" s="113"/>
      <c r="H62" s="102"/>
      <c r="I62" s="103"/>
      <c r="J62" s="103"/>
      <c r="K62" s="103"/>
      <c r="L62" s="103"/>
      <c r="M62" s="103"/>
    </row>
    <row r="63" spans="1:13" ht="15.75" thickBot="1" x14ac:dyDescent="0.25">
      <c r="G63" s="104" t="s">
        <v>686</v>
      </c>
      <c r="H63" s="105" t="s">
        <v>687</v>
      </c>
      <c r="I63" s="103"/>
      <c r="J63" s="103"/>
      <c r="K63" s="106"/>
      <c r="L63" s="106"/>
      <c r="M63" s="106"/>
    </row>
    <row r="64" spans="1:13" ht="15" thickBot="1" x14ac:dyDescent="0.25">
      <c r="G64" s="112">
        <v>1</v>
      </c>
      <c r="H64" s="102" t="s">
        <v>645</v>
      </c>
      <c r="I64" s="103"/>
      <c r="J64" s="103">
        <v>3.4</v>
      </c>
      <c r="K64" s="103">
        <v>1</v>
      </c>
      <c r="L64" s="110">
        <v>0.17</v>
      </c>
      <c r="M64" s="103">
        <v>3.57</v>
      </c>
    </row>
    <row r="65" spans="7:13" ht="29.25" thickBot="1" x14ac:dyDescent="0.25">
      <c r="G65" s="112">
        <v>2</v>
      </c>
      <c r="H65" s="102" t="s">
        <v>657</v>
      </c>
      <c r="I65" s="103"/>
      <c r="J65" s="103">
        <v>0.7</v>
      </c>
      <c r="K65" s="103">
        <v>1</v>
      </c>
      <c r="L65" s="110">
        <v>0.04</v>
      </c>
      <c r="M65" s="103">
        <v>0.74</v>
      </c>
    </row>
    <row r="66" spans="7:13" ht="15" thickBot="1" x14ac:dyDescent="0.25">
      <c r="G66" s="112">
        <v>3</v>
      </c>
      <c r="H66" s="102" t="s">
        <v>658</v>
      </c>
      <c r="I66" s="103"/>
      <c r="J66" s="103">
        <v>3.56</v>
      </c>
      <c r="K66" s="103">
        <v>1</v>
      </c>
      <c r="L66" s="110">
        <v>0.18</v>
      </c>
      <c r="M66" s="103">
        <v>3.74</v>
      </c>
    </row>
    <row r="67" spans="7:13" ht="15" thickBot="1" x14ac:dyDescent="0.25">
      <c r="G67" s="112">
        <v>4</v>
      </c>
      <c r="H67" s="102" t="s">
        <v>659</v>
      </c>
      <c r="I67" s="103"/>
      <c r="J67" s="103">
        <v>0.56999999999999995</v>
      </c>
      <c r="K67" s="103">
        <v>1</v>
      </c>
      <c r="L67" s="110">
        <v>0.03</v>
      </c>
      <c r="M67" s="103">
        <v>0.6</v>
      </c>
    </row>
    <row r="68" spans="7:13" ht="15" thickBot="1" x14ac:dyDescent="0.25">
      <c r="G68" s="112">
        <v>5</v>
      </c>
      <c r="H68" s="102" t="s">
        <v>660</v>
      </c>
      <c r="I68" s="103"/>
      <c r="J68" s="103">
        <v>1.62</v>
      </c>
      <c r="K68" s="103">
        <v>1</v>
      </c>
      <c r="L68" s="110">
        <v>0.08</v>
      </c>
      <c r="M68" s="103">
        <v>1.7</v>
      </c>
    </row>
    <row r="69" spans="7:13" ht="15" thickBot="1" x14ac:dyDescent="0.25">
      <c r="G69" s="112">
        <v>6</v>
      </c>
      <c r="H69" s="102" t="s">
        <v>661</v>
      </c>
      <c r="I69" s="103"/>
      <c r="J69" s="103">
        <v>0.17</v>
      </c>
      <c r="K69" s="103">
        <v>1</v>
      </c>
      <c r="L69" s="110">
        <v>0.01</v>
      </c>
      <c r="M69" s="103">
        <v>0.18</v>
      </c>
    </row>
    <row r="70" spans="7:13" ht="15" thickBot="1" x14ac:dyDescent="0.25">
      <c r="G70" s="112">
        <v>7</v>
      </c>
      <c r="H70" s="102" t="s">
        <v>662</v>
      </c>
      <c r="I70" s="103"/>
      <c r="J70" s="103">
        <v>2.33</v>
      </c>
      <c r="K70" s="103">
        <v>1</v>
      </c>
      <c r="L70" s="110">
        <v>0.12</v>
      </c>
      <c r="M70" s="103">
        <v>2.4500000000000002</v>
      </c>
    </row>
    <row r="71" spans="7:13" ht="15" thickBot="1" x14ac:dyDescent="0.25">
      <c r="G71" s="112">
        <v>8</v>
      </c>
      <c r="H71" s="102" t="s">
        <v>663</v>
      </c>
      <c r="I71" s="103"/>
      <c r="J71" s="103">
        <v>0.16</v>
      </c>
      <c r="K71" s="103">
        <v>1</v>
      </c>
      <c r="L71" s="110">
        <v>0.01</v>
      </c>
      <c r="M71" s="103">
        <v>0.17</v>
      </c>
    </row>
    <row r="72" spans="7:13" ht="15" thickBot="1" x14ac:dyDescent="0.25">
      <c r="G72" s="112">
        <v>9</v>
      </c>
      <c r="H72" s="102" t="s">
        <v>664</v>
      </c>
      <c r="I72" s="103"/>
      <c r="J72" s="103">
        <v>2.44</v>
      </c>
      <c r="K72" s="103">
        <v>1</v>
      </c>
      <c r="L72" s="110">
        <v>0.12</v>
      </c>
      <c r="M72" s="103">
        <v>2.56</v>
      </c>
    </row>
    <row r="73" spans="7:13" ht="15" thickBot="1" x14ac:dyDescent="0.25">
      <c r="G73" s="112">
        <v>10</v>
      </c>
      <c r="H73" s="102" t="s">
        <v>665</v>
      </c>
      <c r="I73" s="103"/>
      <c r="J73" s="103">
        <v>0.11</v>
      </c>
      <c r="K73" s="103">
        <v>1</v>
      </c>
      <c r="L73" s="110">
        <v>0.01</v>
      </c>
      <c r="M73" s="103">
        <v>0.12</v>
      </c>
    </row>
    <row r="74" spans="7:13" ht="15" thickBot="1" x14ac:dyDescent="0.25">
      <c r="G74" s="112">
        <v>11</v>
      </c>
      <c r="H74" s="102" t="s">
        <v>666</v>
      </c>
      <c r="I74" s="103"/>
      <c r="J74" s="103">
        <v>2.58</v>
      </c>
      <c r="K74" s="103">
        <v>2</v>
      </c>
      <c r="L74" s="110">
        <v>0.26</v>
      </c>
      <c r="M74" s="103">
        <v>5.42</v>
      </c>
    </row>
    <row r="75" spans="7:13" ht="29.25" thickBot="1" x14ac:dyDescent="0.25">
      <c r="G75" s="112">
        <v>12</v>
      </c>
      <c r="H75" s="102" t="s">
        <v>667</v>
      </c>
      <c r="I75" s="103"/>
      <c r="J75" s="103">
        <v>0.81</v>
      </c>
      <c r="K75" s="103">
        <v>2</v>
      </c>
      <c r="L75" s="110">
        <v>0.08</v>
      </c>
      <c r="M75" s="103">
        <v>1.7</v>
      </c>
    </row>
    <row r="76" spans="7:13" ht="29.25" thickBot="1" x14ac:dyDescent="0.25">
      <c r="G76" s="112">
        <v>13</v>
      </c>
      <c r="H76" s="102" t="s">
        <v>668</v>
      </c>
      <c r="I76" s="103"/>
      <c r="J76" s="103">
        <v>0.74</v>
      </c>
      <c r="K76" s="103">
        <v>1</v>
      </c>
      <c r="L76" s="110">
        <v>0.04</v>
      </c>
      <c r="M76" s="103">
        <v>0.78</v>
      </c>
    </row>
    <row r="77" spans="7:13" ht="15" thickBot="1" x14ac:dyDescent="0.25">
      <c r="G77" s="112">
        <v>14</v>
      </c>
      <c r="H77" s="102" t="s">
        <v>669</v>
      </c>
      <c r="I77" s="103"/>
      <c r="J77" s="103">
        <v>0.46</v>
      </c>
      <c r="K77" s="103">
        <v>1</v>
      </c>
      <c r="L77" s="110">
        <v>0.02</v>
      </c>
      <c r="M77" s="103">
        <v>0.48</v>
      </c>
    </row>
    <row r="78" spans="7:13" ht="15" thickBot="1" x14ac:dyDescent="0.25">
      <c r="G78" s="112">
        <v>15</v>
      </c>
      <c r="H78" s="102" t="s">
        <v>670</v>
      </c>
      <c r="I78" s="103"/>
      <c r="J78" s="103">
        <v>0.66</v>
      </c>
      <c r="K78" s="103">
        <v>1</v>
      </c>
      <c r="L78" s="110">
        <v>0.03</v>
      </c>
      <c r="M78" s="103">
        <v>0.69</v>
      </c>
    </row>
    <row r="79" spans="7:13" ht="29.25" thickBot="1" x14ac:dyDescent="0.25">
      <c r="G79" s="112">
        <v>16</v>
      </c>
      <c r="H79" s="102" t="s">
        <v>671</v>
      </c>
      <c r="I79" s="103"/>
      <c r="J79" s="103">
        <v>1.46</v>
      </c>
      <c r="K79" s="103">
        <v>1</v>
      </c>
      <c r="L79" s="103">
        <v>7.0000000000000007E-2</v>
      </c>
      <c r="M79" s="103">
        <v>1.53</v>
      </c>
    </row>
    <row r="80" spans="7:13" ht="15" thickBot="1" x14ac:dyDescent="0.25">
      <c r="G80" s="112">
        <v>17</v>
      </c>
      <c r="H80" s="102" t="s">
        <v>688</v>
      </c>
      <c r="I80" s="103"/>
      <c r="J80" s="103">
        <v>5</v>
      </c>
      <c r="K80" s="103">
        <v>1</v>
      </c>
      <c r="L80" s="103">
        <v>0.25</v>
      </c>
      <c r="M80" s="103">
        <v>5.25</v>
      </c>
    </row>
    <row r="81" spans="7:13" ht="15" thickBot="1" x14ac:dyDescent="0.25">
      <c r="G81" s="112">
        <v>18</v>
      </c>
      <c r="H81" s="102" t="s">
        <v>689</v>
      </c>
      <c r="I81" s="103"/>
      <c r="J81" s="103">
        <v>1</v>
      </c>
      <c r="K81" s="103">
        <v>10</v>
      </c>
      <c r="L81" s="103">
        <v>0.5</v>
      </c>
      <c r="M81" s="103">
        <v>10.5</v>
      </c>
    </row>
    <row r="82" spans="7:13" ht="15" thickBot="1" x14ac:dyDescent="0.25">
      <c r="G82" s="113">
        <v>19</v>
      </c>
      <c r="H82" s="102" t="s">
        <v>690</v>
      </c>
      <c r="I82" s="103"/>
      <c r="J82" s="103">
        <v>1.2</v>
      </c>
      <c r="K82" s="103">
        <v>1</v>
      </c>
      <c r="L82" s="103">
        <v>0.06</v>
      </c>
      <c r="M82" s="103">
        <v>1.26</v>
      </c>
    </row>
    <row r="83" spans="7:13" ht="15" thickBot="1" x14ac:dyDescent="0.25">
      <c r="G83" s="113">
        <v>20</v>
      </c>
      <c r="H83" s="102" t="s">
        <v>691</v>
      </c>
      <c r="I83" s="103"/>
      <c r="J83" s="103">
        <v>8.9</v>
      </c>
      <c r="K83" s="103">
        <v>1</v>
      </c>
      <c r="L83" s="110">
        <v>1.6</v>
      </c>
      <c r="M83" s="103">
        <v>10.5</v>
      </c>
    </row>
    <row r="84" spans="7:13" ht="15" thickBot="1" x14ac:dyDescent="0.25">
      <c r="G84" s="113">
        <v>21</v>
      </c>
      <c r="H84" s="102" t="s">
        <v>672</v>
      </c>
      <c r="I84" s="103"/>
      <c r="J84" s="103">
        <v>4.8</v>
      </c>
      <c r="K84" s="103">
        <v>1</v>
      </c>
      <c r="L84" s="110">
        <v>0.86</v>
      </c>
      <c r="M84" s="103">
        <v>5.66</v>
      </c>
    </row>
    <row r="85" spans="7:13" ht="29.25" thickBot="1" x14ac:dyDescent="0.25">
      <c r="G85" s="113">
        <v>22</v>
      </c>
      <c r="H85" s="102" t="s">
        <v>692</v>
      </c>
      <c r="I85" s="103"/>
      <c r="J85" s="103">
        <v>8.4700000000000006</v>
      </c>
      <c r="K85" s="103" t="s">
        <v>693</v>
      </c>
      <c r="L85" s="110">
        <v>1.53</v>
      </c>
      <c r="M85" s="103">
        <v>10</v>
      </c>
    </row>
    <row r="86" spans="7:13" ht="15" thickBot="1" x14ac:dyDescent="0.25">
      <c r="G86" s="113"/>
      <c r="H86" s="351"/>
      <c r="I86" s="103"/>
      <c r="J86" s="103"/>
      <c r="K86" s="103"/>
      <c r="L86" s="110"/>
      <c r="M86" s="103"/>
    </row>
    <row r="87" spans="7:13" ht="15.75" thickBot="1" x14ac:dyDescent="0.25">
      <c r="G87" s="104" t="s">
        <v>694</v>
      </c>
      <c r="H87" s="105" t="s">
        <v>695</v>
      </c>
      <c r="I87" s="106"/>
      <c r="J87" s="106"/>
      <c r="K87" s="106"/>
      <c r="L87" s="106"/>
      <c r="M87" s="106"/>
    </row>
    <row r="88" spans="7:13" ht="84" customHeight="1" x14ac:dyDescent="0.2">
      <c r="G88" s="358">
        <v>1</v>
      </c>
      <c r="H88" s="360" t="s">
        <v>696</v>
      </c>
      <c r="I88" s="358" t="s">
        <v>697</v>
      </c>
      <c r="J88" s="358">
        <v>0.3</v>
      </c>
      <c r="K88" s="107" t="s">
        <v>698</v>
      </c>
      <c r="L88" s="358" t="s">
        <v>685</v>
      </c>
      <c r="M88" s="358">
        <v>0.3</v>
      </c>
    </row>
    <row r="89" spans="7:13" ht="15" thickBot="1" x14ac:dyDescent="0.25">
      <c r="G89" s="359"/>
      <c r="H89" s="361"/>
      <c r="I89" s="359"/>
      <c r="J89" s="359"/>
      <c r="K89" s="103" t="s">
        <v>699</v>
      </c>
      <c r="L89" s="359"/>
      <c r="M89" s="359"/>
    </row>
    <row r="90" spans="7:13" ht="15.75" thickBot="1" x14ac:dyDescent="0.25">
      <c r="G90" s="108" t="s">
        <v>700</v>
      </c>
      <c r="H90" s="105" t="s">
        <v>701</v>
      </c>
      <c r="I90" s="103" t="s">
        <v>693</v>
      </c>
      <c r="J90" s="103" t="s">
        <v>693</v>
      </c>
      <c r="K90" s="103" t="s">
        <v>693</v>
      </c>
      <c r="L90" s="103" t="s">
        <v>693</v>
      </c>
      <c r="M90" s="103" t="s">
        <v>693</v>
      </c>
    </row>
    <row r="91" spans="7:13" x14ac:dyDescent="0.2">
      <c r="G91" s="358">
        <v>1</v>
      </c>
      <c r="H91" s="360" t="s">
        <v>702</v>
      </c>
      <c r="I91" s="362" t="s">
        <v>697</v>
      </c>
      <c r="J91" s="358">
        <v>6.46</v>
      </c>
      <c r="K91" s="109" t="s">
        <v>698</v>
      </c>
      <c r="L91" s="362" t="s">
        <v>685</v>
      </c>
      <c r="M91" s="358">
        <v>6.46</v>
      </c>
    </row>
    <row r="92" spans="7:13" ht="15" thickBot="1" x14ac:dyDescent="0.25">
      <c r="G92" s="359"/>
      <c r="H92" s="361"/>
      <c r="I92" s="363"/>
      <c r="J92" s="359"/>
      <c r="K92" s="110" t="s">
        <v>699</v>
      </c>
      <c r="L92" s="363"/>
      <c r="M92" s="359"/>
    </row>
    <row r="93" spans="7:13" ht="15.75" thickBot="1" x14ac:dyDescent="0.25">
      <c r="G93" s="108" t="s">
        <v>703</v>
      </c>
      <c r="H93" s="105" t="s">
        <v>704</v>
      </c>
      <c r="I93" s="103" t="s">
        <v>697</v>
      </c>
      <c r="J93" s="103">
        <v>5</v>
      </c>
      <c r="K93" s="103" t="s">
        <v>697</v>
      </c>
      <c r="L93" s="110" t="s">
        <v>685</v>
      </c>
      <c r="M93" s="103">
        <v>5</v>
      </c>
    </row>
    <row r="94" spans="7:13" ht="15.75" thickBot="1" x14ac:dyDescent="0.25">
      <c r="G94" s="108" t="s">
        <v>705</v>
      </c>
      <c r="H94" s="105" t="s">
        <v>23</v>
      </c>
      <c r="I94" s="103" t="s">
        <v>693</v>
      </c>
      <c r="J94" s="103" t="s">
        <v>693</v>
      </c>
      <c r="K94" s="103" t="s">
        <v>693</v>
      </c>
      <c r="L94" s="103" t="s">
        <v>693</v>
      </c>
      <c r="M94" s="103" t="s">
        <v>693</v>
      </c>
    </row>
    <row r="95" spans="7:13" ht="15.75" thickBot="1" x14ac:dyDescent="0.25">
      <c r="G95" s="113"/>
      <c r="H95" s="111" t="s">
        <v>706</v>
      </c>
      <c r="I95" s="106"/>
      <c r="J95" s="106"/>
      <c r="K95" s="106"/>
      <c r="L95" s="106"/>
      <c r="M95" s="106">
        <v>209.1</v>
      </c>
    </row>
  </sheetData>
  <mergeCells count="18">
    <mergeCell ref="C7:C12"/>
    <mergeCell ref="M88:M89"/>
    <mergeCell ref="G91:G92"/>
    <mergeCell ref="H91:H92"/>
    <mergeCell ref="I91:I92"/>
    <mergeCell ref="J91:J92"/>
    <mergeCell ref="L91:L92"/>
    <mergeCell ref="M91:M92"/>
    <mergeCell ref="G88:G89"/>
    <mergeCell ref="H88:H89"/>
    <mergeCell ref="I88:I89"/>
    <mergeCell ref="J88:J89"/>
    <mergeCell ref="L88:L89"/>
    <mergeCell ref="A50:B50"/>
    <mergeCell ref="C40:C41"/>
    <mergeCell ref="C43:C44"/>
    <mergeCell ref="C36:C38"/>
    <mergeCell ref="C14:C29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BreakPreview" topLeftCell="A40" zoomScale="70" zoomScaleNormal="100" zoomScaleSheetLayoutView="70" workbookViewId="0">
      <selection activeCell="C5" sqref="A1:XFD1048576"/>
    </sheetView>
  </sheetViews>
  <sheetFormatPr defaultRowHeight="14.25" x14ac:dyDescent="0.2"/>
  <cols>
    <col min="1" max="1" width="4" style="133" bestFit="1" customWidth="1"/>
    <col min="2" max="2" width="25.140625" style="133" bestFit="1" customWidth="1"/>
    <col min="3" max="6" width="12.28515625" style="133" bestFit="1" customWidth="1"/>
    <col min="7" max="7" width="13.42578125" style="133" bestFit="1" customWidth="1"/>
    <col min="8" max="8" width="12.5703125" style="133" bestFit="1" customWidth="1"/>
    <col min="9" max="12" width="13.42578125" style="133" bestFit="1" customWidth="1"/>
    <col min="13" max="16384" width="9.140625" style="133"/>
  </cols>
  <sheetData>
    <row r="1" spans="1:12" ht="15" x14ac:dyDescent="0.25">
      <c r="A1" s="160" t="s">
        <v>76</v>
      </c>
      <c r="B1" s="114" t="s">
        <v>1</v>
      </c>
      <c r="C1" s="185" t="s">
        <v>36</v>
      </c>
      <c r="D1" s="185" t="s">
        <v>37</v>
      </c>
      <c r="E1" s="185" t="s">
        <v>38</v>
      </c>
      <c r="F1" s="185" t="s">
        <v>39</v>
      </c>
      <c r="G1" s="185" t="s">
        <v>40</v>
      </c>
      <c r="H1" s="185" t="s">
        <v>41</v>
      </c>
      <c r="I1" s="185" t="s">
        <v>42</v>
      </c>
      <c r="J1" s="185" t="s">
        <v>494</v>
      </c>
      <c r="K1" s="185" t="s">
        <v>495</v>
      </c>
      <c r="L1" s="185" t="s">
        <v>496</v>
      </c>
    </row>
    <row r="2" spans="1:12" s="320" customFormat="1" ht="15" x14ac:dyDescent="0.25">
      <c r="A2" s="209"/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s="320" customFormat="1" ht="15" x14ac:dyDescent="0.25">
      <c r="A3" s="209"/>
      <c r="B3" s="212" t="s">
        <v>724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5" x14ac:dyDescent="0.25">
      <c r="A4" s="138" t="s">
        <v>77</v>
      </c>
      <c r="B4" s="206" t="str">
        <f>'CS-FG'!B4</f>
        <v>Rice</v>
      </c>
      <c r="C4" s="115">
        <f>'CS-FG'!C7</f>
        <v>161</v>
      </c>
      <c r="D4" s="115">
        <f>'CS-FG'!D7</f>
        <v>184</v>
      </c>
      <c r="E4" s="115">
        <f>'CS-FG'!E7</f>
        <v>201</v>
      </c>
      <c r="F4" s="115">
        <f>'CS-FG'!F7</f>
        <v>218</v>
      </c>
      <c r="G4" s="115">
        <f>'CS-FG'!G7</f>
        <v>234</v>
      </c>
      <c r="H4" s="115">
        <f>'CS-FG'!H7</f>
        <v>251</v>
      </c>
      <c r="I4" s="115">
        <f>'CS-FG'!I7</f>
        <v>268</v>
      </c>
      <c r="J4" s="115">
        <f>'CS-FG'!J7</f>
        <v>286</v>
      </c>
      <c r="K4" s="115">
        <f>'CS-FG'!K7</f>
        <v>301</v>
      </c>
      <c r="L4" s="115">
        <f>'CS-FG'!L7</f>
        <v>318</v>
      </c>
    </row>
    <row r="5" spans="1:12" x14ac:dyDescent="0.2">
      <c r="A5" s="116"/>
      <c r="B5" s="115" t="s">
        <v>74</v>
      </c>
      <c r="C5" s="202">
        <f>'CS-FG'!C35</f>
        <v>27000</v>
      </c>
      <c r="D5" s="202">
        <f>'CS-FG'!D35</f>
        <v>28350</v>
      </c>
      <c r="E5" s="202">
        <f>'CS-FG'!E35</f>
        <v>29770</v>
      </c>
      <c r="F5" s="202">
        <f>'CS-FG'!F35</f>
        <v>31260</v>
      </c>
      <c r="G5" s="202">
        <f>'CS-FG'!G35</f>
        <v>32820</v>
      </c>
      <c r="H5" s="202">
        <f>'CS-FG'!H35</f>
        <v>34460</v>
      </c>
      <c r="I5" s="202">
        <f>'CS-FG'!I35</f>
        <v>36180</v>
      </c>
      <c r="J5" s="202">
        <f>'CS-FG'!J35</f>
        <v>37990</v>
      </c>
      <c r="K5" s="202">
        <f>'CS-FG'!K35</f>
        <v>39890</v>
      </c>
      <c r="L5" s="202">
        <f>'CS-FG'!L35</f>
        <v>41880</v>
      </c>
    </row>
    <row r="6" spans="1:12" ht="15" x14ac:dyDescent="0.25">
      <c r="A6" s="116"/>
      <c r="B6" s="206" t="s">
        <v>86</v>
      </c>
      <c r="C6" s="207">
        <f>C4*C5/100000</f>
        <v>43.47</v>
      </c>
      <c r="D6" s="207">
        <f t="shared" ref="D6:I6" si="0">D4*D5/100000</f>
        <v>52.164000000000001</v>
      </c>
      <c r="E6" s="207">
        <f t="shared" si="0"/>
        <v>59.837699999999998</v>
      </c>
      <c r="F6" s="207">
        <f t="shared" si="0"/>
        <v>68.146799999999999</v>
      </c>
      <c r="G6" s="207">
        <f t="shared" si="0"/>
        <v>76.7988</v>
      </c>
      <c r="H6" s="207">
        <f t="shared" si="0"/>
        <v>86.494600000000005</v>
      </c>
      <c r="I6" s="207">
        <f t="shared" si="0"/>
        <v>96.962400000000002</v>
      </c>
      <c r="J6" s="207">
        <f t="shared" ref="J6:L6" si="1">J4*J5/100000</f>
        <v>108.6514</v>
      </c>
      <c r="K6" s="207">
        <f t="shared" si="1"/>
        <v>120.0689</v>
      </c>
      <c r="L6" s="207">
        <f t="shared" si="1"/>
        <v>133.17840000000001</v>
      </c>
    </row>
    <row r="7" spans="1:12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ht="15" x14ac:dyDescent="0.25">
      <c r="A8" s="138" t="s">
        <v>82</v>
      </c>
      <c r="B8" s="206" t="str">
        <f>'CS-FG'!B10</f>
        <v>Husk</v>
      </c>
      <c r="C8" s="115">
        <f>'CS-FG'!C13</f>
        <v>67</v>
      </c>
      <c r="D8" s="115">
        <f>'CS-FG'!D13</f>
        <v>77</v>
      </c>
      <c r="E8" s="115">
        <f>'CS-FG'!E13</f>
        <v>83</v>
      </c>
      <c r="F8" s="115">
        <f>'CS-FG'!F13</f>
        <v>91</v>
      </c>
      <c r="G8" s="115">
        <f>'CS-FG'!G13</f>
        <v>98</v>
      </c>
      <c r="H8" s="115">
        <f>'CS-FG'!H13</f>
        <v>104</v>
      </c>
      <c r="I8" s="115">
        <f>'CS-FG'!I13</f>
        <v>112</v>
      </c>
      <c r="J8" s="115">
        <f>'CS-FG'!J13</f>
        <v>119</v>
      </c>
      <c r="K8" s="115">
        <f>'CS-FG'!K13</f>
        <v>126</v>
      </c>
      <c r="L8" s="115">
        <f>'CS-FG'!L13</f>
        <v>132</v>
      </c>
    </row>
    <row r="9" spans="1:12" x14ac:dyDescent="0.2">
      <c r="A9" s="116"/>
      <c r="B9" s="126" t="s">
        <v>74</v>
      </c>
      <c r="C9" s="202">
        <f>'CS-FG'!C36</f>
        <v>2000</v>
      </c>
      <c r="D9" s="202">
        <f>'CS-FG'!D36</f>
        <v>2100</v>
      </c>
      <c r="E9" s="202">
        <f>'CS-FG'!E36</f>
        <v>2210</v>
      </c>
      <c r="F9" s="202">
        <f>'CS-FG'!F36</f>
        <v>2320</v>
      </c>
      <c r="G9" s="202">
        <f>'CS-FG'!G36</f>
        <v>2440</v>
      </c>
      <c r="H9" s="202">
        <f>'CS-FG'!H36</f>
        <v>2560</v>
      </c>
      <c r="I9" s="202">
        <f>'CS-FG'!I36</f>
        <v>2690</v>
      </c>
      <c r="J9" s="202">
        <f>'CS-FG'!J36</f>
        <v>2820</v>
      </c>
      <c r="K9" s="202">
        <f>'CS-FG'!K36</f>
        <v>2960</v>
      </c>
      <c r="L9" s="202">
        <f>'CS-FG'!L36</f>
        <v>3110</v>
      </c>
    </row>
    <row r="10" spans="1:12" ht="15" x14ac:dyDescent="0.25">
      <c r="A10" s="116"/>
      <c r="B10" s="206" t="s">
        <v>86</v>
      </c>
      <c r="C10" s="207">
        <f>C8*C9/100000</f>
        <v>1.34</v>
      </c>
      <c r="D10" s="207">
        <f t="shared" ref="D10:I10" si="2">D8*D9/100000</f>
        <v>1.617</v>
      </c>
      <c r="E10" s="207">
        <f t="shared" si="2"/>
        <v>1.8343</v>
      </c>
      <c r="F10" s="207">
        <f t="shared" si="2"/>
        <v>2.1112000000000002</v>
      </c>
      <c r="G10" s="207">
        <f t="shared" si="2"/>
        <v>2.3912</v>
      </c>
      <c r="H10" s="207">
        <f t="shared" si="2"/>
        <v>2.6623999999999999</v>
      </c>
      <c r="I10" s="207">
        <f t="shared" si="2"/>
        <v>3.0127999999999999</v>
      </c>
      <c r="J10" s="207">
        <f t="shared" ref="J10:L10" si="3">J8*J9/100000</f>
        <v>3.3557999999999999</v>
      </c>
      <c r="K10" s="207">
        <f t="shared" si="3"/>
        <v>3.7296</v>
      </c>
      <c r="L10" s="207">
        <f t="shared" si="3"/>
        <v>4.1052</v>
      </c>
    </row>
    <row r="11" spans="1:12" x14ac:dyDescent="0.2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ht="15" x14ac:dyDescent="0.25">
      <c r="A12" s="138" t="s">
        <v>83</v>
      </c>
      <c r="B12" s="206" t="str">
        <f>'CS-FG'!B16</f>
        <v>Broken</v>
      </c>
      <c r="C12" s="115">
        <f>'CS-FG'!C19</f>
        <v>34</v>
      </c>
      <c r="D12" s="115">
        <f>'CS-FG'!D19</f>
        <v>38</v>
      </c>
      <c r="E12" s="115">
        <f>'CS-FG'!E19</f>
        <v>42</v>
      </c>
      <c r="F12" s="115">
        <f>'CS-FG'!F19</f>
        <v>46</v>
      </c>
      <c r="G12" s="115">
        <f>'CS-FG'!G19</f>
        <v>49</v>
      </c>
      <c r="H12" s="115">
        <f>'CS-FG'!H19</f>
        <v>53</v>
      </c>
      <c r="I12" s="115">
        <f>'CS-FG'!I19</f>
        <v>56</v>
      </c>
      <c r="J12" s="115">
        <f>'CS-FG'!J19</f>
        <v>59</v>
      </c>
      <c r="K12" s="115">
        <f>'CS-FG'!K19</f>
        <v>63</v>
      </c>
      <c r="L12" s="115">
        <f>'CS-FG'!L19</f>
        <v>67</v>
      </c>
    </row>
    <row r="13" spans="1:12" x14ac:dyDescent="0.2">
      <c r="A13" s="116"/>
      <c r="B13" s="115" t="s">
        <v>74</v>
      </c>
      <c r="C13" s="202">
        <f>'CS-FG'!C37</f>
        <v>18000</v>
      </c>
      <c r="D13" s="202">
        <f>'CS-FG'!D37</f>
        <v>18900</v>
      </c>
      <c r="E13" s="202">
        <f>'CS-FG'!E37</f>
        <v>19850</v>
      </c>
      <c r="F13" s="202">
        <f>'CS-FG'!F37</f>
        <v>20840</v>
      </c>
      <c r="G13" s="202">
        <f>'CS-FG'!G37</f>
        <v>21880</v>
      </c>
      <c r="H13" s="202">
        <f>'CS-FG'!H37</f>
        <v>22970</v>
      </c>
      <c r="I13" s="202">
        <f>'CS-FG'!I37</f>
        <v>24120</v>
      </c>
      <c r="J13" s="202">
        <f>'CS-FG'!J37</f>
        <v>25330</v>
      </c>
      <c r="K13" s="202">
        <f>'CS-FG'!K37</f>
        <v>26600</v>
      </c>
      <c r="L13" s="202">
        <f>'CS-FG'!L37</f>
        <v>27930</v>
      </c>
    </row>
    <row r="14" spans="1:12" ht="15" x14ac:dyDescent="0.25">
      <c r="A14" s="116"/>
      <c r="B14" s="206" t="s">
        <v>86</v>
      </c>
      <c r="C14" s="207">
        <f>C12*C13/100000</f>
        <v>6.12</v>
      </c>
      <c r="D14" s="207">
        <f t="shared" ref="D14:I14" si="4">D12*D13/100000</f>
        <v>7.1820000000000004</v>
      </c>
      <c r="E14" s="207">
        <f t="shared" si="4"/>
        <v>8.3369999999999997</v>
      </c>
      <c r="F14" s="207">
        <f t="shared" si="4"/>
        <v>9.5863999999999994</v>
      </c>
      <c r="G14" s="207">
        <f t="shared" si="4"/>
        <v>10.7212</v>
      </c>
      <c r="H14" s="207">
        <f t="shared" si="4"/>
        <v>12.174099999999999</v>
      </c>
      <c r="I14" s="207">
        <f t="shared" si="4"/>
        <v>13.507199999999999</v>
      </c>
      <c r="J14" s="207">
        <f t="shared" ref="J14:L14" si="5">J12*J13/100000</f>
        <v>14.944699999999999</v>
      </c>
      <c r="K14" s="207">
        <f t="shared" si="5"/>
        <v>16.757999999999999</v>
      </c>
      <c r="L14" s="207">
        <f t="shared" si="5"/>
        <v>18.713100000000001</v>
      </c>
    </row>
    <row r="15" spans="1:12" ht="15" x14ac:dyDescent="0.25">
      <c r="A15" s="116"/>
      <c r="B15" s="206"/>
      <c r="C15" s="207"/>
      <c r="D15" s="207"/>
      <c r="E15" s="207"/>
      <c r="F15" s="207"/>
      <c r="G15" s="207"/>
      <c r="H15" s="207"/>
      <c r="I15" s="207"/>
      <c r="J15" s="207"/>
      <c r="K15" s="207"/>
      <c r="L15" s="207"/>
    </row>
    <row r="16" spans="1:12" ht="15" x14ac:dyDescent="0.25">
      <c r="A16" s="138" t="s">
        <v>401</v>
      </c>
      <c r="B16" s="206" t="str">
        <f>'CS-FG'!B22</f>
        <v>Bran</v>
      </c>
      <c r="C16" s="115">
        <f>'CS-FG'!C25</f>
        <v>24</v>
      </c>
      <c r="D16" s="115">
        <f>'CS-FG'!D25</f>
        <v>27</v>
      </c>
      <c r="E16" s="115">
        <f>'CS-FG'!E25</f>
        <v>29</v>
      </c>
      <c r="F16" s="115">
        <f>'CS-FG'!F25</f>
        <v>32</v>
      </c>
      <c r="G16" s="115">
        <f>'CS-FG'!G25</f>
        <v>34</v>
      </c>
      <c r="H16" s="115">
        <f>'CS-FG'!H25</f>
        <v>36</v>
      </c>
      <c r="I16" s="115">
        <f>'CS-FG'!I25</f>
        <v>39</v>
      </c>
      <c r="J16" s="115">
        <f>'CS-FG'!J25</f>
        <v>42</v>
      </c>
      <c r="K16" s="115">
        <f>'CS-FG'!K25</f>
        <v>44</v>
      </c>
      <c r="L16" s="115">
        <f>'CS-FG'!L25</f>
        <v>47</v>
      </c>
    </row>
    <row r="17" spans="1:12" x14ac:dyDescent="0.2">
      <c r="A17" s="116"/>
      <c r="B17" s="115" t="s">
        <v>74</v>
      </c>
      <c r="C17" s="202">
        <f>'CS-FG'!C38</f>
        <v>12000</v>
      </c>
      <c r="D17" s="202">
        <f>'CS-FG'!D38</f>
        <v>12600</v>
      </c>
      <c r="E17" s="202">
        <f>'CS-FG'!E38</f>
        <v>13230</v>
      </c>
      <c r="F17" s="202">
        <f>'CS-FG'!F38</f>
        <v>13890</v>
      </c>
      <c r="G17" s="202">
        <f>'CS-FG'!G38</f>
        <v>14580</v>
      </c>
      <c r="H17" s="202">
        <f>'CS-FG'!H38</f>
        <v>15310</v>
      </c>
      <c r="I17" s="202">
        <f>'CS-FG'!I38</f>
        <v>16080</v>
      </c>
      <c r="J17" s="202">
        <f>'CS-FG'!J38</f>
        <v>16880</v>
      </c>
      <c r="K17" s="202">
        <f>'CS-FG'!K38</f>
        <v>17720</v>
      </c>
      <c r="L17" s="202">
        <f>'CS-FG'!L38</f>
        <v>18610</v>
      </c>
    </row>
    <row r="18" spans="1:12" ht="15" x14ac:dyDescent="0.25">
      <c r="A18" s="116"/>
      <c r="B18" s="206" t="s">
        <v>86</v>
      </c>
      <c r="C18" s="207">
        <f>C16*C17/100000</f>
        <v>2.88</v>
      </c>
      <c r="D18" s="207">
        <f t="shared" ref="D18:L18" si="6">D16*D17/100000</f>
        <v>3.4020000000000001</v>
      </c>
      <c r="E18" s="207">
        <f t="shared" si="6"/>
        <v>3.8367</v>
      </c>
      <c r="F18" s="207">
        <f t="shared" si="6"/>
        <v>4.4447999999999999</v>
      </c>
      <c r="G18" s="207">
        <f t="shared" si="6"/>
        <v>4.9572000000000003</v>
      </c>
      <c r="H18" s="207">
        <f t="shared" si="6"/>
        <v>5.5115999999999996</v>
      </c>
      <c r="I18" s="207">
        <f t="shared" si="6"/>
        <v>6.2712000000000003</v>
      </c>
      <c r="J18" s="207">
        <f t="shared" si="6"/>
        <v>7.0895999999999999</v>
      </c>
      <c r="K18" s="207">
        <f t="shared" si="6"/>
        <v>7.7968000000000002</v>
      </c>
      <c r="L18" s="207">
        <f t="shared" si="6"/>
        <v>8.7467000000000006</v>
      </c>
    </row>
    <row r="19" spans="1:12" ht="15" x14ac:dyDescent="0.25">
      <c r="A19" s="116"/>
      <c r="B19" s="206"/>
      <c r="C19" s="207"/>
      <c r="D19" s="207"/>
      <c r="E19" s="207"/>
      <c r="F19" s="207"/>
      <c r="G19" s="207"/>
      <c r="H19" s="207"/>
      <c r="I19" s="207"/>
      <c r="J19" s="207"/>
      <c r="K19" s="207"/>
      <c r="L19" s="207"/>
    </row>
    <row r="20" spans="1:12" ht="15" x14ac:dyDescent="0.25">
      <c r="A20" s="138" t="s">
        <v>401</v>
      </c>
      <c r="B20" s="206" t="str">
        <f>'CS-FG'!B28</f>
        <v>Jari</v>
      </c>
      <c r="C20" s="115">
        <f>'CS-FG'!C31</f>
        <v>17</v>
      </c>
      <c r="D20" s="115">
        <f>'CS-FG'!D31</f>
        <v>19</v>
      </c>
      <c r="E20" s="115">
        <f>'CS-FG'!E31</f>
        <v>21</v>
      </c>
      <c r="F20" s="115">
        <f>'CS-FG'!F31</f>
        <v>23</v>
      </c>
      <c r="G20" s="115">
        <f>'CS-FG'!G31</f>
        <v>25</v>
      </c>
      <c r="H20" s="115">
        <f>'CS-FG'!H31</f>
        <v>26</v>
      </c>
      <c r="I20" s="115">
        <f>'CS-FG'!I31</f>
        <v>28</v>
      </c>
      <c r="J20" s="115">
        <f>'CS-FG'!J31</f>
        <v>30</v>
      </c>
      <c r="K20" s="115">
        <f>'CS-FG'!K31</f>
        <v>32</v>
      </c>
      <c r="L20" s="115">
        <f>'CS-FG'!L31</f>
        <v>33</v>
      </c>
    </row>
    <row r="21" spans="1:12" x14ac:dyDescent="0.2">
      <c r="A21" s="116"/>
      <c r="B21" s="115" t="s">
        <v>74</v>
      </c>
      <c r="C21" s="202">
        <f>+'CS-FG'!C39</f>
        <v>12000</v>
      </c>
      <c r="D21" s="202">
        <f>+'CS-FG'!D39</f>
        <v>12600</v>
      </c>
      <c r="E21" s="202">
        <f>+'CS-FG'!E39</f>
        <v>13230</v>
      </c>
      <c r="F21" s="202">
        <f>+'CS-FG'!F39</f>
        <v>13890</v>
      </c>
      <c r="G21" s="202">
        <f>+'CS-FG'!G39</f>
        <v>14580</v>
      </c>
      <c r="H21" s="202">
        <f>+'CS-FG'!H39</f>
        <v>15310</v>
      </c>
      <c r="I21" s="202">
        <f>+'CS-FG'!I39</f>
        <v>16080</v>
      </c>
      <c r="J21" s="202">
        <f>+'CS-FG'!J39</f>
        <v>16880</v>
      </c>
      <c r="K21" s="202">
        <f>+'CS-FG'!K39</f>
        <v>17720</v>
      </c>
      <c r="L21" s="202">
        <f>+'CS-FG'!L39</f>
        <v>18610</v>
      </c>
    </row>
    <row r="22" spans="1:12" ht="15" x14ac:dyDescent="0.25">
      <c r="A22" s="116"/>
      <c r="B22" s="206" t="s">
        <v>86</v>
      </c>
      <c r="C22" s="207">
        <f>C20*C21/100000</f>
        <v>2.04</v>
      </c>
      <c r="D22" s="207">
        <f t="shared" ref="D22:L22" si="7">D20*D21/100000</f>
        <v>2.3940000000000001</v>
      </c>
      <c r="E22" s="207">
        <f t="shared" si="7"/>
        <v>2.7783000000000002</v>
      </c>
      <c r="F22" s="207">
        <f t="shared" si="7"/>
        <v>3.1947000000000001</v>
      </c>
      <c r="G22" s="207">
        <f t="shared" si="7"/>
        <v>3.645</v>
      </c>
      <c r="H22" s="207">
        <f t="shared" si="7"/>
        <v>3.9805999999999999</v>
      </c>
      <c r="I22" s="207">
        <f t="shared" si="7"/>
        <v>4.5023999999999997</v>
      </c>
      <c r="J22" s="207">
        <f t="shared" si="7"/>
        <v>5.0640000000000001</v>
      </c>
      <c r="K22" s="207">
        <f t="shared" si="7"/>
        <v>5.6703999999999999</v>
      </c>
      <c r="L22" s="207">
        <f t="shared" si="7"/>
        <v>6.1413000000000002</v>
      </c>
    </row>
    <row r="23" spans="1:12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12" s="320" customFormat="1" ht="15" x14ac:dyDescent="0.25">
      <c r="A24" s="209"/>
      <c r="B24" s="212" t="s">
        <v>725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</row>
    <row r="25" spans="1:12" ht="15" x14ac:dyDescent="0.25">
      <c r="A25" s="138" t="s">
        <v>77</v>
      </c>
      <c r="B25" s="206" t="str">
        <f>+'CS-FG'!B93</f>
        <v>Rice</v>
      </c>
      <c r="C25" s="115">
        <f>+'CS-FG'!C65</f>
        <v>72</v>
      </c>
      <c r="D25" s="115">
        <f>+'CS-FG'!D65</f>
        <v>82</v>
      </c>
      <c r="E25" s="115">
        <f>+'CS-FG'!E65</f>
        <v>90</v>
      </c>
      <c r="F25" s="115">
        <f>+'CS-FG'!F65</f>
        <v>98</v>
      </c>
      <c r="G25" s="115">
        <f>+'CS-FG'!G65</f>
        <v>104</v>
      </c>
      <c r="H25" s="115">
        <f>+'CS-FG'!H65</f>
        <v>113</v>
      </c>
      <c r="I25" s="115">
        <f>+'CS-FG'!I65</f>
        <v>120</v>
      </c>
      <c r="J25" s="115">
        <f>+'CS-FG'!J65</f>
        <v>127</v>
      </c>
      <c r="K25" s="115">
        <f>+'CS-FG'!K65</f>
        <v>135</v>
      </c>
      <c r="L25" s="115">
        <f>+'CS-FG'!L65</f>
        <v>143</v>
      </c>
    </row>
    <row r="26" spans="1:12" x14ac:dyDescent="0.2">
      <c r="A26" s="116"/>
      <c r="B26" s="115" t="s">
        <v>74</v>
      </c>
      <c r="C26" s="202">
        <f>+'CS-FG'!C93</f>
        <v>45000</v>
      </c>
      <c r="D26" s="202">
        <f>+'CS-FG'!D93</f>
        <v>47250</v>
      </c>
      <c r="E26" s="202">
        <f>+'CS-FG'!E93</f>
        <v>49610</v>
      </c>
      <c r="F26" s="202">
        <f>+'CS-FG'!F93</f>
        <v>52090</v>
      </c>
      <c r="G26" s="202">
        <f>+'CS-FG'!G93</f>
        <v>54690</v>
      </c>
      <c r="H26" s="202">
        <f>+'CS-FG'!H93</f>
        <v>57420</v>
      </c>
      <c r="I26" s="202">
        <f>+'CS-FG'!I93</f>
        <v>60290</v>
      </c>
      <c r="J26" s="202">
        <f>+'CS-FG'!J93</f>
        <v>63300</v>
      </c>
      <c r="K26" s="202">
        <f>+'CS-FG'!K93</f>
        <v>66470</v>
      </c>
      <c r="L26" s="202">
        <f>+'CS-FG'!L93</f>
        <v>69790</v>
      </c>
    </row>
    <row r="27" spans="1:12" ht="15" x14ac:dyDescent="0.25">
      <c r="A27" s="116"/>
      <c r="B27" s="206" t="s">
        <v>86</v>
      </c>
      <c r="C27" s="207">
        <f>C25*C26/100000</f>
        <v>32.4</v>
      </c>
      <c r="D27" s="207">
        <f t="shared" ref="D27:L27" si="8">D25*D26/100000</f>
        <v>38.744999999999997</v>
      </c>
      <c r="E27" s="207">
        <f t="shared" si="8"/>
        <v>44.649000000000001</v>
      </c>
      <c r="F27" s="207">
        <f t="shared" si="8"/>
        <v>51.048200000000001</v>
      </c>
      <c r="G27" s="207">
        <f t="shared" si="8"/>
        <v>56.877600000000001</v>
      </c>
      <c r="H27" s="207">
        <f t="shared" si="8"/>
        <v>64.884600000000006</v>
      </c>
      <c r="I27" s="207">
        <f t="shared" si="8"/>
        <v>72.347999999999999</v>
      </c>
      <c r="J27" s="207">
        <f t="shared" si="8"/>
        <v>80.391000000000005</v>
      </c>
      <c r="K27" s="207">
        <f t="shared" si="8"/>
        <v>89.734499999999997</v>
      </c>
      <c r="L27" s="207">
        <f t="shared" si="8"/>
        <v>99.799700000000001</v>
      </c>
    </row>
    <row r="28" spans="1:12" x14ac:dyDescent="0.2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</row>
    <row r="29" spans="1:12" ht="15" x14ac:dyDescent="0.25">
      <c r="A29" s="138" t="s">
        <v>82</v>
      </c>
      <c r="B29" s="206" t="str">
        <f>'CS-FG'!B94</f>
        <v>Husk</v>
      </c>
      <c r="C29" s="115">
        <f>'CS-FG'!C71</f>
        <v>29</v>
      </c>
      <c r="D29" s="115">
        <f>'CS-FG'!D71</f>
        <v>33</v>
      </c>
      <c r="E29" s="115">
        <f>'CS-FG'!E71</f>
        <v>35</v>
      </c>
      <c r="F29" s="115">
        <f>'CS-FG'!F71</f>
        <v>39</v>
      </c>
      <c r="G29" s="115">
        <f>'CS-FG'!G71</f>
        <v>42</v>
      </c>
      <c r="H29" s="115">
        <f>'CS-FG'!H71</f>
        <v>45</v>
      </c>
      <c r="I29" s="115">
        <f>'CS-FG'!I71</f>
        <v>48</v>
      </c>
      <c r="J29" s="115">
        <f>'CS-FG'!J71</f>
        <v>51</v>
      </c>
      <c r="K29" s="115">
        <f>'CS-FG'!K71</f>
        <v>54</v>
      </c>
      <c r="L29" s="115">
        <f>'CS-FG'!L71</f>
        <v>57</v>
      </c>
    </row>
    <row r="30" spans="1:12" x14ac:dyDescent="0.2">
      <c r="A30" s="116"/>
      <c r="B30" s="115" t="s">
        <v>74</v>
      </c>
      <c r="C30" s="202">
        <f>'CS-FG'!C94</f>
        <v>2000</v>
      </c>
      <c r="D30" s="202">
        <f>'CS-FG'!D94</f>
        <v>2100</v>
      </c>
      <c r="E30" s="202">
        <f>'CS-FG'!E94</f>
        <v>2210</v>
      </c>
      <c r="F30" s="202">
        <f>'CS-FG'!F94</f>
        <v>2320</v>
      </c>
      <c r="G30" s="202">
        <f>'CS-FG'!G94</f>
        <v>2440</v>
      </c>
      <c r="H30" s="202">
        <f>'CS-FG'!H94</f>
        <v>2560</v>
      </c>
      <c r="I30" s="202">
        <f>'CS-FG'!I94</f>
        <v>2690</v>
      </c>
      <c r="J30" s="202">
        <f>'CS-FG'!J94</f>
        <v>2820</v>
      </c>
      <c r="K30" s="202">
        <f>'CS-FG'!K94</f>
        <v>2960</v>
      </c>
      <c r="L30" s="202">
        <f>'CS-FG'!L94</f>
        <v>3110</v>
      </c>
    </row>
    <row r="31" spans="1:12" ht="15" x14ac:dyDescent="0.25">
      <c r="A31" s="116"/>
      <c r="B31" s="206" t="s">
        <v>86</v>
      </c>
      <c r="C31" s="207">
        <f>C29*C30/100000</f>
        <v>0.57999999999999996</v>
      </c>
      <c r="D31" s="207">
        <f t="shared" ref="D31:L31" si="9">D29*D30/100000</f>
        <v>0.69299999999999995</v>
      </c>
      <c r="E31" s="207">
        <f t="shared" si="9"/>
        <v>0.77349999999999997</v>
      </c>
      <c r="F31" s="207">
        <f t="shared" si="9"/>
        <v>0.90480000000000005</v>
      </c>
      <c r="G31" s="207">
        <f t="shared" si="9"/>
        <v>1.0247999999999999</v>
      </c>
      <c r="H31" s="207">
        <f t="shared" si="9"/>
        <v>1.1519999999999999</v>
      </c>
      <c r="I31" s="207">
        <f t="shared" si="9"/>
        <v>1.2911999999999999</v>
      </c>
      <c r="J31" s="207">
        <f t="shared" si="9"/>
        <v>1.4381999999999999</v>
      </c>
      <c r="K31" s="207">
        <f t="shared" si="9"/>
        <v>1.5984</v>
      </c>
      <c r="L31" s="207">
        <f t="shared" si="9"/>
        <v>1.7726999999999999</v>
      </c>
    </row>
    <row r="32" spans="1:12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1:12" ht="15" x14ac:dyDescent="0.25">
      <c r="A33" s="138" t="s">
        <v>83</v>
      </c>
      <c r="B33" s="206" t="str">
        <f>'CS-FG'!B95</f>
        <v>Broken</v>
      </c>
      <c r="C33" s="115">
        <f>+'CS-FG'!C77</f>
        <v>17</v>
      </c>
      <c r="D33" s="115">
        <f>+'CS-FG'!D77</f>
        <v>20</v>
      </c>
      <c r="E33" s="115">
        <f>+'CS-FG'!E77</f>
        <v>22</v>
      </c>
      <c r="F33" s="115">
        <f>+'CS-FG'!F77</f>
        <v>23</v>
      </c>
      <c r="G33" s="115">
        <f>+'CS-FG'!G77</f>
        <v>25</v>
      </c>
      <c r="H33" s="115">
        <f>+'CS-FG'!H77</f>
        <v>27</v>
      </c>
      <c r="I33" s="115">
        <f>+'CS-FG'!I77</f>
        <v>29</v>
      </c>
      <c r="J33" s="115">
        <f>+'CS-FG'!J77</f>
        <v>31</v>
      </c>
      <c r="K33" s="115">
        <f>+'CS-FG'!K77</f>
        <v>32</v>
      </c>
      <c r="L33" s="115">
        <f>+'CS-FG'!L77</f>
        <v>34</v>
      </c>
    </row>
    <row r="34" spans="1:12" x14ac:dyDescent="0.2">
      <c r="A34" s="116"/>
      <c r="B34" s="115" t="s">
        <v>74</v>
      </c>
      <c r="C34" s="202">
        <f>'CS-FG'!C95</f>
        <v>22000</v>
      </c>
      <c r="D34" s="202">
        <f>'CS-FG'!D95</f>
        <v>23100</v>
      </c>
      <c r="E34" s="202">
        <f>'CS-FG'!E95</f>
        <v>24260</v>
      </c>
      <c r="F34" s="202">
        <f>'CS-FG'!F95</f>
        <v>25470</v>
      </c>
      <c r="G34" s="202">
        <f>'CS-FG'!G95</f>
        <v>26740</v>
      </c>
      <c r="H34" s="202">
        <f>'CS-FG'!H95</f>
        <v>28080</v>
      </c>
      <c r="I34" s="202">
        <f>'CS-FG'!I95</f>
        <v>29480</v>
      </c>
      <c r="J34" s="202">
        <f>'CS-FG'!J95</f>
        <v>30950</v>
      </c>
      <c r="K34" s="202">
        <f>'CS-FG'!K95</f>
        <v>32500</v>
      </c>
      <c r="L34" s="202">
        <f>'CS-FG'!L95</f>
        <v>34130</v>
      </c>
    </row>
    <row r="35" spans="1:12" ht="15" x14ac:dyDescent="0.25">
      <c r="A35" s="116"/>
      <c r="B35" s="206" t="s">
        <v>86</v>
      </c>
      <c r="C35" s="207">
        <f>C33*C34/100000</f>
        <v>3.74</v>
      </c>
      <c r="D35" s="207">
        <f t="shared" ref="D35:L35" si="10">D33*D34/100000</f>
        <v>4.62</v>
      </c>
      <c r="E35" s="207">
        <f t="shared" si="10"/>
        <v>5.3372000000000002</v>
      </c>
      <c r="F35" s="207">
        <f t="shared" si="10"/>
        <v>5.8581000000000003</v>
      </c>
      <c r="G35" s="207">
        <f t="shared" si="10"/>
        <v>6.6849999999999996</v>
      </c>
      <c r="H35" s="207">
        <f t="shared" si="10"/>
        <v>7.5815999999999999</v>
      </c>
      <c r="I35" s="207">
        <f t="shared" si="10"/>
        <v>8.5492000000000008</v>
      </c>
      <c r="J35" s="207">
        <f t="shared" si="10"/>
        <v>9.5945</v>
      </c>
      <c r="K35" s="207">
        <f t="shared" si="10"/>
        <v>10.4</v>
      </c>
      <c r="L35" s="207">
        <f t="shared" si="10"/>
        <v>11.604200000000001</v>
      </c>
    </row>
    <row r="36" spans="1:12" ht="15" x14ac:dyDescent="0.25">
      <c r="A36" s="116"/>
      <c r="B36" s="206"/>
      <c r="C36" s="207"/>
      <c r="D36" s="207"/>
      <c r="E36" s="207"/>
      <c r="F36" s="207"/>
      <c r="G36" s="207"/>
      <c r="H36" s="207"/>
      <c r="I36" s="207"/>
      <c r="J36" s="207"/>
      <c r="K36" s="207"/>
      <c r="L36" s="207"/>
    </row>
    <row r="37" spans="1:12" ht="15" x14ac:dyDescent="0.25">
      <c r="A37" s="138" t="s">
        <v>401</v>
      </c>
      <c r="B37" s="206" t="str">
        <f>'CS-FG'!B96</f>
        <v>Bran</v>
      </c>
      <c r="C37" s="115">
        <f>'CS-FG'!C83</f>
        <v>11</v>
      </c>
      <c r="D37" s="115">
        <f>'CS-FG'!D83</f>
        <v>13</v>
      </c>
      <c r="E37" s="115">
        <f>'CS-FG'!E83</f>
        <v>14</v>
      </c>
      <c r="F37" s="115">
        <f>'CS-FG'!F83</f>
        <v>16</v>
      </c>
      <c r="G37" s="115">
        <f>'CS-FG'!G83</f>
        <v>17</v>
      </c>
      <c r="H37" s="115">
        <f>'CS-FG'!H83</f>
        <v>18</v>
      </c>
      <c r="I37" s="115">
        <f>'CS-FG'!I83</f>
        <v>19</v>
      </c>
      <c r="J37" s="115">
        <f>'CS-FG'!J83</f>
        <v>20</v>
      </c>
      <c r="K37" s="115">
        <f>'CS-FG'!K83</f>
        <v>22</v>
      </c>
      <c r="L37" s="115">
        <f>'CS-FG'!L83</f>
        <v>23</v>
      </c>
    </row>
    <row r="38" spans="1:12" x14ac:dyDescent="0.2">
      <c r="A38" s="116"/>
      <c r="B38" s="115" t="s">
        <v>74</v>
      </c>
      <c r="C38" s="202">
        <f>'CS-FG'!C96</f>
        <v>12000</v>
      </c>
      <c r="D38" s="202">
        <f>'CS-FG'!D96</f>
        <v>12600</v>
      </c>
      <c r="E38" s="202">
        <f>'CS-FG'!E96</f>
        <v>13230</v>
      </c>
      <c r="F38" s="202">
        <f>'CS-FG'!F96</f>
        <v>13890</v>
      </c>
      <c r="G38" s="202">
        <f>'CS-FG'!G96</f>
        <v>14580</v>
      </c>
      <c r="H38" s="202">
        <f>'CS-FG'!H96</f>
        <v>15310</v>
      </c>
      <c r="I38" s="202">
        <f>'CS-FG'!I96</f>
        <v>16080</v>
      </c>
      <c r="J38" s="202">
        <f>'CS-FG'!J96</f>
        <v>16880</v>
      </c>
      <c r="K38" s="202">
        <f>'CS-FG'!K96</f>
        <v>17720</v>
      </c>
      <c r="L38" s="202">
        <f>'CS-FG'!L96</f>
        <v>18610</v>
      </c>
    </row>
    <row r="39" spans="1:12" ht="15" x14ac:dyDescent="0.25">
      <c r="A39" s="116"/>
      <c r="B39" s="206" t="s">
        <v>86</v>
      </c>
      <c r="C39" s="207">
        <f>C37*C38/100000</f>
        <v>1.32</v>
      </c>
      <c r="D39" s="207">
        <f t="shared" ref="D39:L39" si="11">D37*D38/100000</f>
        <v>1.6379999999999999</v>
      </c>
      <c r="E39" s="207">
        <f t="shared" si="11"/>
        <v>1.8522000000000001</v>
      </c>
      <c r="F39" s="207">
        <f t="shared" si="11"/>
        <v>2.2223999999999999</v>
      </c>
      <c r="G39" s="207">
        <f t="shared" si="11"/>
        <v>2.4786000000000001</v>
      </c>
      <c r="H39" s="207">
        <f t="shared" si="11"/>
        <v>2.7557999999999998</v>
      </c>
      <c r="I39" s="207">
        <f t="shared" si="11"/>
        <v>3.0552000000000001</v>
      </c>
      <c r="J39" s="207">
        <f t="shared" si="11"/>
        <v>3.3759999999999999</v>
      </c>
      <c r="K39" s="207">
        <f t="shared" si="11"/>
        <v>3.8984000000000001</v>
      </c>
      <c r="L39" s="207">
        <f t="shared" si="11"/>
        <v>4.2803000000000004</v>
      </c>
    </row>
    <row r="40" spans="1:12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</row>
    <row r="41" spans="1:12" ht="15" x14ac:dyDescent="0.25">
      <c r="A41" s="138" t="s">
        <v>402</v>
      </c>
      <c r="B41" s="206" t="str">
        <f>'CS-FG'!B97</f>
        <v>Jari</v>
      </c>
      <c r="C41" s="119">
        <f>+'CS-FG'!C89</f>
        <v>8</v>
      </c>
      <c r="D41" s="119">
        <f>+'CS-FG'!D89</f>
        <v>8</v>
      </c>
      <c r="E41" s="119">
        <f>+'CS-FG'!E89</f>
        <v>9</v>
      </c>
      <c r="F41" s="119">
        <f>+'CS-FG'!F89</f>
        <v>10</v>
      </c>
      <c r="G41" s="119">
        <f>+'CS-FG'!G89</f>
        <v>11</v>
      </c>
      <c r="H41" s="119">
        <f>+'CS-FG'!H89</f>
        <v>11</v>
      </c>
      <c r="I41" s="119">
        <f>+'CS-FG'!I89</f>
        <v>11</v>
      </c>
      <c r="J41" s="119">
        <f>+'CS-FG'!J89</f>
        <v>13</v>
      </c>
      <c r="K41" s="119">
        <f>+'CS-FG'!K89</f>
        <v>14</v>
      </c>
      <c r="L41" s="119">
        <f>+'CS-FG'!L89</f>
        <v>14</v>
      </c>
    </row>
    <row r="42" spans="1:12" x14ac:dyDescent="0.2">
      <c r="A42" s="116"/>
      <c r="B42" s="115" t="s">
        <v>74</v>
      </c>
      <c r="C42" s="202">
        <f>+'CS-FG'!C97</f>
        <v>12000</v>
      </c>
      <c r="D42" s="202">
        <f>+'CS-FG'!D97</f>
        <v>12600</v>
      </c>
      <c r="E42" s="202">
        <f>+'CS-FG'!E97</f>
        <v>13230</v>
      </c>
      <c r="F42" s="202">
        <f>+'CS-FG'!F97</f>
        <v>13890</v>
      </c>
      <c r="G42" s="202">
        <f>+'CS-FG'!G97</f>
        <v>14580</v>
      </c>
      <c r="H42" s="202">
        <f>+'CS-FG'!H97</f>
        <v>15310</v>
      </c>
      <c r="I42" s="202">
        <f>+'CS-FG'!I97</f>
        <v>16080</v>
      </c>
      <c r="J42" s="202">
        <f>+'CS-FG'!J97</f>
        <v>16880</v>
      </c>
      <c r="K42" s="202">
        <f>+'CS-FG'!K97</f>
        <v>17720</v>
      </c>
      <c r="L42" s="202">
        <f>+'CS-FG'!L97</f>
        <v>18610</v>
      </c>
    </row>
    <row r="43" spans="1:12" ht="15" x14ac:dyDescent="0.25">
      <c r="A43" s="116"/>
      <c r="B43" s="206" t="s">
        <v>86</v>
      </c>
      <c r="C43" s="207">
        <f>C41*C42/100000</f>
        <v>0.96</v>
      </c>
      <c r="D43" s="207">
        <f t="shared" ref="D43:L43" si="12">D41*D42/100000</f>
        <v>1.008</v>
      </c>
      <c r="E43" s="207">
        <f t="shared" si="12"/>
        <v>1.1907000000000001</v>
      </c>
      <c r="F43" s="207">
        <f t="shared" si="12"/>
        <v>1.389</v>
      </c>
      <c r="G43" s="207">
        <f t="shared" si="12"/>
        <v>1.6037999999999999</v>
      </c>
      <c r="H43" s="207">
        <f t="shared" si="12"/>
        <v>1.6840999999999999</v>
      </c>
      <c r="I43" s="207">
        <f t="shared" si="12"/>
        <v>1.7687999999999999</v>
      </c>
      <c r="J43" s="207">
        <f t="shared" si="12"/>
        <v>2.1943999999999999</v>
      </c>
      <c r="K43" s="207">
        <f t="shared" si="12"/>
        <v>2.4807999999999999</v>
      </c>
      <c r="L43" s="207">
        <f t="shared" si="12"/>
        <v>2.6053999999999999</v>
      </c>
    </row>
    <row r="44" spans="1:12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</row>
    <row r="45" spans="1:12" ht="15" x14ac:dyDescent="0.25">
      <c r="A45" s="116"/>
      <c r="B45" s="141" t="s">
        <v>87</v>
      </c>
      <c r="C45" s="208">
        <f>C14+C10+C6+C18+C27+C31+C35+C39+C22+C43</f>
        <v>94.85</v>
      </c>
      <c r="D45" s="208">
        <f t="shared" ref="D45:L45" si="13">D14+D10+D6+D18+D27+D31+D35+D39+D22+D43</f>
        <v>113.46299999999999</v>
      </c>
      <c r="E45" s="208">
        <f t="shared" si="13"/>
        <v>130.42659999999998</v>
      </c>
      <c r="F45" s="208">
        <f t="shared" si="13"/>
        <v>148.90640000000002</v>
      </c>
      <c r="G45" s="208">
        <f t="shared" si="13"/>
        <v>167.1832</v>
      </c>
      <c r="H45" s="208">
        <f t="shared" si="13"/>
        <v>188.88140000000001</v>
      </c>
      <c r="I45" s="208">
        <f t="shared" si="13"/>
        <v>211.26840000000004</v>
      </c>
      <c r="J45" s="208">
        <f t="shared" si="13"/>
        <v>236.09960000000001</v>
      </c>
      <c r="K45" s="208">
        <f t="shared" si="13"/>
        <v>262.13579999999996</v>
      </c>
      <c r="L45" s="208">
        <f t="shared" si="13"/>
        <v>290.94699999999995</v>
      </c>
    </row>
  </sheetData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RowHeight="15" x14ac:dyDescent="0.25"/>
  <cols>
    <col min="1" max="1" width="24.5703125" style="3" bestFit="1" customWidth="1"/>
    <col min="2" max="2" width="6.28515625" style="3" customWidth="1"/>
    <col min="3" max="3" width="10.85546875" style="3" bestFit="1" customWidth="1"/>
    <col min="4" max="4" width="12" style="3" hidden="1" customWidth="1"/>
    <col min="5" max="5" width="11.42578125" style="3" bestFit="1" customWidth="1"/>
    <col min="6" max="6" width="12" style="3" customWidth="1"/>
    <col min="7" max="16384" width="9.140625" style="3"/>
  </cols>
  <sheetData>
    <row r="2" spans="1:13" ht="45" customHeight="1" x14ac:dyDescent="0.25">
      <c r="A2" s="51" t="s">
        <v>407</v>
      </c>
      <c r="B2" s="52" t="s">
        <v>408</v>
      </c>
      <c r="C2" s="53" t="s">
        <v>409</v>
      </c>
      <c r="D2" s="371" t="s">
        <v>410</v>
      </c>
      <c r="E2" s="371" t="s">
        <v>411</v>
      </c>
      <c r="F2" s="371" t="s">
        <v>412</v>
      </c>
      <c r="G2" s="373" t="s">
        <v>413</v>
      </c>
      <c r="H2" s="374"/>
      <c r="I2" s="374"/>
      <c r="J2" s="374"/>
      <c r="K2" s="374"/>
      <c r="L2" s="374"/>
      <c r="M2" s="375"/>
    </row>
    <row r="3" spans="1:13" x14ac:dyDescent="0.25">
      <c r="A3" s="54" t="s">
        <v>414</v>
      </c>
      <c r="B3" s="54"/>
      <c r="C3" s="55" t="s">
        <v>415</v>
      </c>
      <c r="D3" s="372"/>
      <c r="E3" s="372"/>
      <c r="F3" s="372"/>
      <c r="G3" s="56" t="s">
        <v>36</v>
      </c>
      <c r="H3" s="56" t="s">
        <v>37</v>
      </c>
      <c r="I3" s="56" t="s">
        <v>38</v>
      </c>
      <c r="J3" s="56" t="s">
        <v>39</v>
      </c>
      <c r="K3" s="56" t="s">
        <v>40</v>
      </c>
      <c r="L3" s="56" t="s">
        <v>41</v>
      </c>
      <c r="M3" s="56" t="s">
        <v>42</v>
      </c>
    </row>
    <row r="4" spans="1:13" x14ac:dyDescent="0.25">
      <c r="A4" s="46" t="s">
        <v>416</v>
      </c>
      <c r="B4" s="8"/>
      <c r="C4" s="8"/>
      <c r="D4" s="8"/>
      <c r="E4" s="8"/>
      <c r="F4" s="8"/>
      <c r="G4" s="47">
        <v>0.4</v>
      </c>
      <c r="H4" s="48">
        <v>0.5</v>
      </c>
      <c r="I4" s="48">
        <f t="shared" ref="I4:K4" si="0">+H4+5%</f>
        <v>0.55000000000000004</v>
      </c>
      <c r="J4" s="48">
        <f t="shared" si="0"/>
        <v>0.60000000000000009</v>
      </c>
      <c r="K4" s="48">
        <f t="shared" si="0"/>
        <v>0.65000000000000013</v>
      </c>
      <c r="L4" s="48">
        <f>+K4</f>
        <v>0.65000000000000013</v>
      </c>
      <c r="M4" s="48">
        <f>+L4</f>
        <v>0.65000000000000013</v>
      </c>
    </row>
    <row r="5" spans="1:13" x14ac:dyDescent="0.25">
      <c r="A5" s="8" t="s">
        <v>462</v>
      </c>
      <c r="B5" s="8">
        <v>1</v>
      </c>
      <c r="C5" s="8">
        <v>700</v>
      </c>
      <c r="D5" s="8"/>
      <c r="E5" s="8">
        <v>1500</v>
      </c>
      <c r="F5" s="8" t="s">
        <v>417</v>
      </c>
      <c r="G5" s="8">
        <f>(($B$5*$C$5*$E$5)/100000)*G4</f>
        <v>4.2</v>
      </c>
      <c r="H5" s="8">
        <f t="shared" ref="H5:M5" si="1">(($B$5*$C$5*$E$5)/100000)*H4</f>
        <v>5.25</v>
      </c>
      <c r="I5" s="8">
        <f t="shared" si="1"/>
        <v>5.7750000000000004</v>
      </c>
      <c r="J5" s="8">
        <f t="shared" si="1"/>
        <v>6.3000000000000007</v>
      </c>
      <c r="K5" s="8">
        <f t="shared" si="1"/>
        <v>6.8250000000000011</v>
      </c>
      <c r="L5" s="8">
        <f t="shared" si="1"/>
        <v>6.8250000000000011</v>
      </c>
      <c r="M5" s="8">
        <f t="shared" si="1"/>
        <v>6.8250000000000011</v>
      </c>
    </row>
    <row r="6" spans="1:13" x14ac:dyDescent="0.25">
      <c r="A6" s="8" t="s">
        <v>463</v>
      </c>
      <c r="B6" s="8">
        <v>2</v>
      </c>
      <c r="C6" s="8">
        <v>350</v>
      </c>
      <c r="D6" s="8"/>
      <c r="E6" s="8">
        <v>1000</v>
      </c>
      <c r="F6" s="8" t="s">
        <v>417</v>
      </c>
      <c r="G6" s="8">
        <f>(($B$6*$C$6*$E$6)/100000)*G4</f>
        <v>2.8000000000000003</v>
      </c>
      <c r="H6" s="8">
        <f t="shared" ref="H6:M6" si="2">(($B$6*$C$6*$E$6)/100000)*H4</f>
        <v>3.5</v>
      </c>
      <c r="I6" s="8">
        <f t="shared" si="2"/>
        <v>3.8500000000000005</v>
      </c>
      <c r="J6" s="8">
        <f t="shared" si="2"/>
        <v>4.2000000000000011</v>
      </c>
      <c r="K6" s="8">
        <f t="shared" si="2"/>
        <v>4.5500000000000007</v>
      </c>
      <c r="L6" s="8">
        <f t="shared" si="2"/>
        <v>4.5500000000000007</v>
      </c>
      <c r="M6" s="8">
        <f t="shared" si="2"/>
        <v>4.5500000000000007</v>
      </c>
    </row>
    <row r="7" spans="1:13" hidden="1" x14ac:dyDescent="0.25">
      <c r="A7" s="8" t="s">
        <v>418</v>
      </c>
      <c r="B7" s="8"/>
      <c r="C7" s="8"/>
      <c r="D7" s="8"/>
      <c r="E7" s="8"/>
      <c r="F7" s="8" t="s">
        <v>419</v>
      </c>
      <c r="G7" s="8">
        <f>+ROUND($C7*$D7*$E7*G$4*'[1]Consolidated P&amp;L'!C$1/100000,2)</f>
        <v>0</v>
      </c>
      <c r="H7" s="8">
        <f>+ROUND($C7*$D7*$E7*H$4*'[1]Consolidated P&amp;L'!D$1/100000,2)</f>
        <v>0</v>
      </c>
      <c r="I7" s="8">
        <f>+ROUND($C7*$D7*$E7*I$4*'[1]Consolidated P&amp;L'!E$1/100000,2)</f>
        <v>0</v>
      </c>
      <c r="J7" s="8">
        <f>+ROUND($C7*$D7*$E7*J$4*'[1]Consolidated P&amp;L'!F$1/100000,2)</f>
        <v>0</v>
      </c>
      <c r="K7" s="8">
        <f>+ROUND($C7*$D7*$E7*K$4*'[1]Consolidated P&amp;L'!G$1/100000,2)</f>
        <v>0</v>
      </c>
      <c r="L7" s="8">
        <f>+ROUND($C7*$D7*$E7*L$4*'[1]Consolidated P&amp;L'!H$1/100000,2)</f>
        <v>0</v>
      </c>
      <c r="M7" s="8">
        <f>+ROUND($C7*$D7*$E7*M$4*'[1]Consolidated P&amp;L'!I$1/100000,2)</f>
        <v>0</v>
      </c>
    </row>
    <row r="8" spans="1:13" hidden="1" x14ac:dyDescent="0.25">
      <c r="A8" s="8" t="s">
        <v>420</v>
      </c>
      <c r="B8" s="8"/>
      <c r="C8" s="8"/>
      <c r="D8" s="8"/>
      <c r="E8" s="8"/>
      <c r="F8" s="8" t="s">
        <v>421</v>
      </c>
      <c r="G8" s="8">
        <f>+ROUND($C8*$E8*G$4*'[1]Consolidated P&amp;L'!C$1/100000,2)</f>
        <v>0</v>
      </c>
      <c r="H8" s="8">
        <f>+ROUND($C8*$E8*H$4*'[1]Consolidated P&amp;L'!D$1/100000,2)</f>
        <v>0</v>
      </c>
      <c r="I8" s="8">
        <f>+ROUND($C8*$E8*I$4*'[1]Consolidated P&amp;L'!E$1/100000,2)</f>
        <v>0</v>
      </c>
      <c r="J8" s="8">
        <f>+ROUND($C8*$E8*J$4*'[1]Consolidated P&amp;L'!F$1/100000,2)</f>
        <v>0</v>
      </c>
      <c r="K8" s="8">
        <f>+ROUND($C8*$E8*K$4*'[1]Consolidated P&amp;L'!G$1/100000,2)</f>
        <v>0</v>
      </c>
      <c r="L8" s="8">
        <f>+ROUND($C8*$E8*L$4*'[1]Consolidated P&amp;L'!H$1/100000,2)</f>
        <v>0</v>
      </c>
      <c r="M8" s="8">
        <f>+ROUND($C8*$E8*M$4*'[1]Consolidated P&amp;L'!I$1/100000,2)</f>
        <v>0</v>
      </c>
    </row>
    <row r="9" spans="1:13" hidden="1" x14ac:dyDescent="0.25">
      <c r="A9" s="8" t="s">
        <v>422</v>
      </c>
      <c r="B9" s="8"/>
      <c r="C9" s="8"/>
      <c r="D9" s="8"/>
      <c r="E9" s="8"/>
      <c r="F9" s="8" t="s">
        <v>421</v>
      </c>
      <c r="G9" s="8">
        <f>+ROUND($C9*$E9*G$4*'[1]Consolidated P&amp;L'!C$1/100000,2)</f>
        <v>0</v>
      </c>
      <c r="H9" s="8">
        <f>+ROUND($C9*$E9*H$4*'[1]Consolidated P&amp;L'!D$1/100000,2)</f>
        <v>0</v>
      </c>
      <c r="I9" s="8">
        <f>+ROUND($C9*$E9*I$4*'[1]Consolidated P&amp;L'!E$1/100000,2)</f>
        <v>0</v>
      </c>
      <c r="J9" s="8">
        <f>+ROUND($C9*$E9*J$4*'[1]Consolidated P&amp;L'!F$1/100000,2)</f>
        <v>0</v>
      </c>
      <c r="K9" s="8">
        <f>+ROUND($C9*$E9*K$4*'[1]Consolidated P&amp;L'!G$1/100000,2)</f>
        <v>0</v>
      </c>
      <c r="L9" s="8">
        <f>+ROUND($C9*$E9*L$4*'[1]Consolidated P&amp;L'!H$1/100000,2)</f>
        <v>0</v>
      </c>
      <c r="M9" s="8">
        <f>+ROUND($C9*$E9*M$4*'[1]Consolidated P&amp;L'!I$1/100000,2)</f>
        <v>0</v>
      </c>
    </row>
    <row r="10" spans="1:13" x14ac:dyDescent="0.25">
      <c r="A10" s="38" t="s">
        <v>321</v>
      </c>
      <c r="B10" s="38"/>
      <c r="C10" s="38"/>
      <c r="D10" s="38"/>
      <c r="E10" s="38"/>
      <c r="F10" s="38"/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</row>
    <row r="19" spans="4:4" x14ac:dyDescent="0.25">
      <c r="D19" s="50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31" t="s">
        <v>1</v>
      </c>
      <c r="B1" s="33" t="s">
        <v>36</v>
      </c>
      <c r="C1" s="33" t="s">
        <v>37</v>
      </c>
      <c r="D1" s="33" t="s">
        <v>38</v>
      </c>
      <c r="E1" s="33" t="s">
        <v>39</v>
      </c>
      <c r="F1" s="33" t="s">
        <v>40</v>
      </c>
      <c r="G1" s="33" t="s">
        <v>41</v>
      </c>
      <c r="H1" s="33" t="s">
        <v>42</v>
      </c>
    </row>
    <row r="2" spans="1:13" x14ac:dyDescent="0.25">
      <c r="A2" s="29"/>
      <c r="B2" s="26"/>
      <c r="C2" s="26"/>
      <c r="D2" s="26"/>
      <c r="E2" s="26"/>
      <c r="F2" s="26"/>
      <c r="G2" s="26"/>
      <c r="H2" s="26"/>
    </row>
    <row r="3" spans="1:13" s="28" customFormat="1" ht="64.5" x14ac:dyDescent="0.25">
      <c r="A3" s="26" t="s">
        <v>406</v>
      </c>
      <c r="B3" s="27">
        <v>0</v>
      </c>
      <c r="C3" s="27">
        <f>B3*1.05</f>
        <v>0</v>
      </c>
      <c r="D3" s="27">
        <f>C3*1.05</f>
        <v>0</v>
      </c>
      <c r="E3" s="27">
        <f t="shared" ref="E3:H3" si="0">D3*1.05</f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/>
      <c r="K3" s="32"/>
      <c r="L3" s="32"/>
      <c r="M3" s="32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topLeftCell="A2" zoomScaleNormal="100" zoomScaleSheetLayoutView="100" workbookViewId="0">
      <selection activeCell="C5" sqref="A1:XFD1048576"/>
    </sheetView>
  </sheetViews>
  <sheetFormatPr defaultRowHeight="14.25" x14ac:dyDescent="0.2"/>
  <cols>
    <col min="1" max="1" width="10.140625" style="133" bestFit="1" customWidth="1"/>
    <col min="2" max="2" width="34.7109375" style="133" bestFit="1" customWidth="1"/>
    <col min="3" max="3" width="8" style="133" bestFit="1" customWidth="1"/>
    <col min="4" max="4" width="4.140625" style="133" bestFit="1" customWidth="1"/>
    <col min="5" max="5" width="5.85546875" style="133" bestFit="1" customWidth="1"/>
    <col min="6" max="6" width="11.85546875" style="133" bestFit="1" customWidth="1"/>
    <col min="7" max="7" width="9.42578125" style="133" bestFit="1" customWidth="1"/>
    <col min="8" max="10" width="4.140625" style="133" bestFit="1" customWidth="1"/>
    <col min="11" max="11" width="4.85546875" style="133" bestFit="1" customWidth="1"/>
    <col min="12" max="16384" width="9.140625" style="133"/>
  </cols>
  <sheetData>
    <row r="1" spans="1:7" x14ac:dyDescent="0.2">
      <c r="A1" s="376" t="s">
        <v>88</v>
      </c>
      <c r="B1" s="376"/>
      <c r="C1" s="376"/>
      <c r="D1" s="376"/>
      <c r="E1" s="376"/>
      <c r="F1" s="376"/>
      <c r="G1" s="376"/>
    </row>
    <row r="2" spans="1:7" ht="25.5" x14ac:dyDescent="0.2">
      <c r="A2" s="130" t="s">
        <v>89</v>
      </c>
      <c r="B2" s="130" t="s">
        <v>1</v>
      </c>
      <c r="C2" s="131" t="s">
        <v>90</v>
      </c>
      <c r="D2" s="131"/>
      <c r="E2" s="131" t="s">
        <v>91</v>
      </c>
      <c r="F2" s="132" t="s">
        <v>92</v>
      </c>
      <c r="G2" s="132" t="s">
        <v>93</v>
      </c>
    </row>
    <row r="3" spans="1:7" x14ac:dyDescent="0.2">
      <c r="A3" s="134">
        <v>1</v>
      </c>
      <c r="B3" s="129" t="s">
        <v>94</v>
      </c>
      <c r="C3" s="134" t="s">
        <v>95</v>
      </c>
      <c r="D3" s="134" t="s">
        <v>555</v>
      </c>
      <c r="E3" s="134">
        <v>0</v>
      </c>
      <c r="F3" s="135">
        <v>40000</v>
      </c>
      <c r="G3" s="135">
        <f t="shared" ref="G3:G9" si="0">E3*F3*12/100000</f>
        <v>0</v>
      </c>
    </row>
    <row r="4" spans="1:7" x14ac:dyDescent="0.2">
      <c r="A4" s="134">
        <v>2</v>
      </c>
      <c r="B4" s="129" t="s">
        <v>96</v>
      </c>
      <c r="C4" s="134" t="s">
        <v>95</v>
      </c>
      <c r="D4" s="134" t="s">
        <v>403</v>
      </c>
      <c r="E4" s="134">
        <v>0</v>
      </c>
      <c r="F4" s="135">
        <v>18000</v>
      </c>
      <c r="G4" s="135">
        <f t="shared" si="0"/>
        <v>0</v>
      </c>
    </row>
    <row r="5" spans="1:7" ht="25.5" x14ac:dyDescent="0.2">
      <c r="A5" s="134">
        <v>3</v>
      </c>
      <c r="B5" s="129" t="s">
        <v>97</v>
      </c>
      <c r="C5" s="134" t="s">
        <v>95</v>
      </c>
      <c r="D5" s="134" t="s">
        <v>403</v>
      </c>
      <c r="E5" s="134">
        <v>0</v>
      </c>
      <c r="F5" s="135">
        <v>18000</v>
      </c>
      <c r="G5" s="135">
        <f t="shared" si="0"/>
        <v>0</v>
      </c>
    </row>
    <row r="6" spans="1:7" x14ac:dyDescent="0.2">
      <c r="A6" s="134">
        <v>4</v>
      </c>
      <c r="B6" s="136" t="s">
        <v>98</v>
      </c>
      <c r="C6" s="134" t="s">
        <v>95</v>
      </c>
      <c r="D6" s="134" t="s">
        <v>555</v>
      </c>
      <c r="E6" s="134">
        <v>2</v>
      </c>
      <c r="F6" s="135">
        <v>10000</v>
      </c>
      <c r="G6" s="135">
        <f t="shared" si="0"/>
        <v>2.4</v>
      </c>
    </row>
    <row r="7" spans="1:7" x14ac:dyDescent="0.2">
      <c r="A7" s="134">
        <v>5</v>
      </c>
      <c r="B7" s="129" t="s">
        <v>99</v>
      </c>
      <c r="C7" s="134" t="s">
        <v>95</v>
      </c>
      <c r="D7" s="134" t="s">
        <v>555</v>
      </c>
      <c r="E7" s="134">
        <v>1</v>
      </c>
      <c r="F7" s="135">
        <v>8000</v>
      </c>
      <c r="G7" s="135">
        <f t="shared" si="0"/>
        <v>0.96</v>
      </c>
    </row>
    <row r="8" spans="1:7" x14ac:dyDescent="0.2">
      <c r="A8" s="134">
        <v>6</v>
      </c>
      <c r="B8" s="129" t="s">
        <v>100</v>
      </c>
      <c r="C8" s="134" t="s">
        <v>95</v>
      </c>
      <c r="D8" s="134" t="s">
        <v>403</v>
      </c>
      <c r="E8" s="134">
        <v>1</v>
      </c>
      <c r="F8" s="135">
        <v>8000</v>
      </c>
      <c r="G8" s="135">
        <f t="shared" si="0"/>
        <v>0.96</v>
      </c>
    </row>
    <row r="9" spans="1:7" x14ac:dyDescent="0.2">
      <c r="A9" s="134">
        <v>7</v>
      </c>
      <c r="B9" s="129" t="s">
        <v>101</v>
      </c>
      <c r="C9" s="134" t="s">
        <v>95</v>
      </c>
      <c r="D9" s="134" t="s">
        <v>555</v>
      </c>
      <c r="E9" s="134">
        <v>1</v>
      </c>
      <c r="F9" s="135">
        <v>6000</v>
      </c>
      <c r="G9" s="135">
        <f t="shared" si="0"/>
        <v>0.72</v>
      </c>
    </row>
    <row r="10" spans="1:7" x14ac:dyDescent="0.2">
      <c r="A10" s="134"/>
      <c r="B10" s="129"/>
      <c r="C10" s="134"/>
      <c r="D10" s="134"/>
      <c r="E10" s="134"/>
      <c r="F10" s="135"/>
      <c r="G10" s="135"/>
    </row>
    <row r="11" spans="1:7" x14ac:dyDescent="0.2">
      <c r="A11" s="134">
        <v>8</v>
      </c>
      <c r="B11" s="129" t="s">
        <v>156</v>
      </c>
      <c r="C11" s="134" t="s">
        <v>102</v>
      </c>
      <c r="D11" s="134" t="s">
        <v>555</v>
      </c>
      <c r="E11" s="134">
        <v>1</v>
      </c>
      <c r="F11" s="135">
        <v>18000</v>
      </c>
      <c r="G11" s="135">
        <f t="shared" ref="G11:G17" si="1">E11*F11*12/100000</f>
        <v>2.16</v>
      </c>
    </row>
    <row r="12" spans="1:7" ht="25.5" x14ac:dyDescent="0.2">
      <c r="A12" s="134">
        <v>9</v>
      </c>
      <c r="B12" s="129" t="s">
        <v>103</v>
      </c>
      <c r="C12" s="134" t="s">
        <v>102</v>
      </c>
      <c r="D12" s="134" t="s">
        <v>555</v>
      </c>
      <c r="E12" s="134">
        <v>0</v>
      </c>
      <c r="F12" s="135">
        <v>15000</v>
      </c>
      <c r="G12" s="135">
        <f t="shared" si="1"/>
        <v>0</v>
      </c>
    </row>
    <row r="13" spans="1:7" x14ac:dyDescent="0.2">
      <c r="A13" s="134">
        <v>10</v>
      </c>
      <c r="B13" s="129" t="s">
        <v>104</v>
      </c>
      <c r="C13" s="134" t="s">
        <v>102</v>
      </c>
      <c r="D13" s="134" t="s">
        <v>555</v>
      </c>
      <c r="E13" s="134">
        <v>2</v>
      </c>
      <c r="F13" s="135">
        <v>12000</v>
      </c>
      <c r="G13" s="135">
        <f t="shared" si="1"/>
        <v>2.88</v>
      </c>
    </row>
    <row r="14" spans="1:7" x14ac:dyDescent="0.2">
      <c r="A14" s="134">
        <v>11</v>
      </c>
      <c r="B14" s="129" t="s">
        <v>620</v>
      </c>
      <c r="C14" s="134" t="s">
        <v>102</v>
      </c>
      <c r="D14" s="134" t="s">
        <v>555</v>
      </c>
      <c r="E14" s="134">
        <v>1</v>
      </c>
      <c r="F14" s="135">
        <v>9000</v>
      </c>
      <c r="G14" s="135">
        <f t="shared" si="1"/>
        <v>1.08</v>
      </c>
    </row>
    <row r="15" spans="1:7" x14ac:dyDescent="0.2">
      <c r="A15" s="134">
        <v>12</v>
      </c>
      <c r="B15" s="129" t="s">
        <v>444</v>
      </c>
      <c r="C15" s="134" t="s">
        <v>102</v>
      </c>
      <c r="D15" s="134"/>
      <c r="E15" s="134">
        <v>0</v>
      </c>
      <c r="F15" s="135">
        <v>8000</v>
      </c>
      <c r="G15" s="135">
        <f t="shared" si="1"/>
        <v>0</v>
      </c>
    </row>
    <row r="16" spans="1:7" x14ac:dyDescent="0.2">
      <c r="A16" s="134">
        <v>13</v>
      </c>
      <c r="B16" s="309" t="s">
        <v>105</v>
      </c>
      <c r="C16" s="134" t="s">
        <v>102</v>
      </c>
      <c r="D16" s="134" t="s">
        <v>555</v>
      </c>
      <c r="E16" s="134">
        <v>1</v>
      </c>
      <c r="F16" s="135">
        <v>8000</v>
      </c>
      <c r="G16" s="135">
        <f t="shared" si="1"/>
        <v>0.96</v>
      </c>
    </row>
    <row r="17" spans="1:11" x14ac:dyDescent="0.2">
      <c r="A17" s="134">
        <v>14</v>
      </c>
      <c r="B17" s="309" t="s">
        <v>106</v>
      </c>
      <c r="C17" s="134" t="s">
        <v>102</v>
      </c>
      <c r="D17" s="134" t="s">
        <v>555</v>
      </c>
      <c r="E17" s="134">
        <v>0</v>
      </c>
      <c r="F17" s="135">
        <v>8000</v>
      </c>
      <c r="G17" s="135">
        <f t="shared" si="1"/>
        <v>0</v>
      </c>
    </row>
    <row r="18" spans="1:11" x14ac:dyDescent="0.2">
      <c r="A18" s="129"/>
      <c r="B18" s="204" t="s">
        <v>29</v>
      </c>
      <c r="C18" s="134"/>
      <c r="D18" s="134"/>
      <c r="E18" s="316">
        <f>SUM(E3:E17)</f>
        <v>10</v>
      </c>
      <c r="F18" s="317"/>
      <c r="G18" s="317">
        <f>SUM(G3:G17)</f>
        <v>12.120000000000001</v>
      </c>
    </row>
    <row r="19" spans="1:11" x14ac:dyDescent="0.2">
      <c r="A19" s="129"/>
      <c r="B19" s="129"/>
      <c r="C19" s="134"/>
      <c r="D19" s="134"/>
      <c r="E19" s="134"/>
      <c r="F19" s="135"/>
      <c r="G19" s="135"/>
    </row>
    <row r="20" spans="1:11" x14ac:dyDescent="0.2">
      <c r="A20" s="129"/>
      <c r="B20" s="204" t="s">
        <v>107</v>
      </c>
      <c r="C20" s="134" t="s">
        <v>102</v>
      </c>
      <c r="D20" s="134"/>
      <c r="E20" s="318">
        <v>6</v>
      </c>
      <c r="F20" s="319" t="s">
        <v>108</v>
      </c>
      <c r="G20" s="319" t="s">
        <v>36</v>
      </c>
    </row>
    <row r="22" spans="1:11" x14ac:dyDescent="0.2">
      <c r="A22" s="116"/>
      <c r="B22" s="116" t="s">
        <v>36</v>
      </c>
      <c r="C22" s="116" t="s">
        <v>37</v>
      </c>
      <c r="D22" s="116" t="s">
        <v>38</v>
      </c>
      <c r="E22" s="116" t="s">
        <v>39</v>
      </c>
      <c r="F22" s="116" t="s">
        <v>40</v>
      </c>
      <c r="G22" s="116" t="s">
        <v>41</v>
      </c>
      <c r="H22" s="116" t="s">
        <v>42</v>
      </c>
      <c r="I22" s="116" t="s">
        <v>494</v>
      </c>
      <c r="J22" s="116" t="s">
        <v>495</v>
      </c>
      <c r="K22" s="116" t="s">
        <v>496</v>
      </c>
    </row>
    <row r="23" spans="1:11" x14ac:dyDescent="0.2">
      <c r="A23" s="204" t="s">
        <v>107</v>
      </c>
      <c r="B23" s="116">
        <f>+E20</f>
        <v>6</v>
      </c>
      <c r="C23" s="116">
        <f>ROUND(B23*1.1,0)</f>
        <v>7</v>
      </c>
      <c r="D23" s="116">
        <f t="shared" ref="D23:H23" si="2">ROUND(C23*1.1,0)</f>
        <v>8</v>
      </c>
      <c r="E23" s="116">
        <f t="shared" si="2"/>
        <v>9</v>
      </c>
      <c r="F23" s="116">
        <f t="shared" si="2"/>
        <v>10</v>
      </c>
      <c r="G23" s="116">
        <f t="shared" si="2"/>
        <v>11</v>
      </c>
      <c r="H23" s="116">
        <f t="shared" si="2"/>
        <v>12</v>
      </c>
      <c r="I23" s="157">
        <f>H23</f>
        <v>12</v>
      </c>
      <c r="J23" s="157">
        <f t="shared" ref="J23:K23" si="3">I23</f>
        <v>12</v>
      </c>
      <c r="K23" s="157">
        <f t="shared" si="3"/>
        <v>12</v>
      </c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60" zoomScaleNormal="100" workbookViewId="0">
      <selection activeCell="C5" sqref="A1:XFD1048576"/>
    </sheetView>
  </sheetViews>
  <sheetFormatPr defaultRowHeight="14.25" x14ac:dyDescent="0.2"/>
  <cols>
    <col min="1" max="1" width="10.5703125" style="133" customWidth="1"/>
    <col min="2" max="2" width="33.42578125" style="133" bestFit="1" customWidth="1"/>
    <col min="3" max="3" width="9.42578125" style="133" bestFit="1" customWidth="1"/>
    <col min="4" max="4" width="9" style="133" bestFit="1" customWidth="1"/>
    <col min="5" max="8" width="9.42578125" style="133" bestFit="1" customWidth="1"/>
    <col min="9" max="10" width="9.85546875" style="133" bestFit="1" customWidth="1"/>
    <col min="11" max="12" width="9.42578125" style="133" bestFit="1" customWidth="1"/>
    <col min="13" max="16384" width="9.140625" style="133"/>
  </cols>
  <sheetData>
    <row r="1" spans="1:12" x14ac:dyDescent="0.2">
      <c r="A1" s="133" t="s">
        <v>621</v>
      </c>
    </row>
    <row r="3" spans="1:12" ht="15" x14ac:dyDescent="0.25">
      <c r="A3" s="160" t="s">
        <v>76</v>
      </c>
      <c r="B3" s="114" t="s">
        <v>1</v>
      </c>
      <c r="C3" s="185" t="s">
        <v>36</v>
      </c>
      <c r="D3" s="185" t="s">
        <v>37</v>
      </c>
      <c r="E3" s="185" t="s">
        <v>38</v>
      </c>
      <c r="F3" s="185" t="s">
        <v>39</v>
      </c>
      <c r="G3" s="185" t="s">
        <v>40</v>
      </c>
      <c r="H3" s="185" t="s">
        <v>41</v>
      </c>
      <c r="I3" s="185" t="s">
        <v>42</v>
      </c>
      <c r="J3" s="185" t="s">
        <v>494</v>
      </c>
      <c r="K3" s="185" t="s">
        <v>495</v>
      </c>
      <c r="L3" s="185" t="s">
        <v>496</v>
      </c>
    </row>
    <row r="4" spans="1:12" ht="15" x14ac:dyDescent="0.25">
      <c r="A4" s="138" t="s">
        <v>77</v>
      </c>
      <c r="B4" s="206" t="s">
        <v>622</v>
      </c>
      <c r="C4" s="115">
        <v>10</v>
      </c>
      <c r="D4" s="115">
        <f>+ROUND(C4*1.05,)</f>
        <v>11</v>
      </c>
      <c r="E4" s="115">
        <f t="shared" ref="E4:L4" si="0">+ROUND(D4*1.05,)</f>
        <v>12</v>
      </c>
      <c r="F4" s="115">
        <f t="shared" si="0"/>
        <v>13</v>
      </c>
      <c r="G4" s="115">
        <f t="shared" si="0"/>
        <v>14</v>
      </c>
      <c r="H4" s="115">
        <f t="shared" si="0"/>
        <v>15</v>
      </c>
      <c r="I4" s="115">
        <f t="shared" si="0"/>
        <v>16</v>
      </c>
      <c r="J4" s="115">
        <f t="shared" si="0"/>
        <v>17</v>
      </c>
      <c r="K4" s="115">
        <f t="shared" si="0"/>
        <v>18</v>
      </c>
      <c r="L4" s="115">
        <f t="shared" si="0"/>
        <v>19</v>
      </c>
    </row>
    <row r="5" spans="1:12" x14ac:dyDescent="0.2">
      <c r="A5" s="116"/>
      <c r="B5" s="115" t="s">
        <v>623</v>
      </c>
      <c r="C5" s="202">
        <f>+'Output Schedule'!B45</f>
        <v>126</v>
      </c>
      <c r="D5" s="202">
        <f>+'Output Schedule'!C45</f>
        <v>138</v>
      </c>
      <c r="E5" s="202">
        <f>+'Output Schedule'!D45</f>
        <v>150</v>
      </c>
      <c r="F5" s="202">
        <f>+'Output Schedule'!E45</f>
        <v>162</v>
      </c>
      <c r="G5" s="202">
        <f>+'Output Schedule'!F45</f>
        <v>176</v>
      </c>
      <c r="H5" s="202">
        <f>+'Output Schedule'!G45</f>
        <v>188</v>
      </c>
      <c r="I5" s="202">
        <f>+'Output Schedule'!H45</f>
        <v>200</v>
      </c>
      <c r="J5" s="202">
        <f>+'Output Schedule'!I45</f>
        <v>212</v>
      </c>
      <c r="K5" s="202">
        <f>+'Output Schedule'!J45</f>
        <v>226</v>
      </c>
      <c r="L5" s="202">
        <f>+'Output Schedule'!K45</f>
        <v>238</v>
      </c>
    </row>
    <row r="6" spans="1:12" x14ac:dyDescent="0.2">
      <c r="A6" s="116"/>
      <c r="B6" s="115" t="s">
        <v>627</v>
      </c>
      <c r="C6" s="202">
        <v>200</v>
      </c>
      <c r="D6" s="202">
        <f>+ROUND(C6*1.05,-1)</f>
        <v>210</v>
      </c>
      <c r="E6" s="202">
        <f t="shared" ref="E6:L6" si="1">+ROUND(D6*1.05,-1)</f>
        <v>220</v>
      </c>
      <c r="F6" s="202">
        <f t="shared" si="1"/>
        <v>230</v>
      </c>
      <c r="G6" s="202">
        <f t="shared" si="1"/>
        <v>240</v>
      </c>
      <c r="H6" s="202">
        <f t="shared" si="1"/>
        <v>250</v>
      </c>
      <c r="I6" s="202">
        <f t="shared" si="1"/>
        <v>260</v>
      </c>
      <c r="J6" s="202">
        <f t="shared" si="1"/>
        <v>270</v>
      </c>
      <c r="K6" s="202">
        <f t="shared" si="1"/>
        <v>280</v>
      </c>
      <c r="L6" s="202">
        <f t="shared" si="1"/>
        <v>290</v>
      </c>
    </row>
    <row r="7" spans="1:12" ht="15" x14ac:dyDescent="0.25">
      <c r="A7" s="116"/>
      <c r="B7" s="206" t="s">
        <v>320</v>
      </c>
      <c r="C7" s="207">
        <f>+C4*C5*C6/100000</f>
        <v>2.52</v>
      </c>
      <c r="D7" s="207">
        <f t="shared" ref="D7:L7" si="2">+D4*D5*D6/100000</f>
        <v>3.1878000000000002</v>
      </c>
      <c r="E7" s="207">
        <f t="shared" si="2"/>
        <v>3.96</v>
      </c>
      <c r="F7" s="207">
        <f t="shared" si="2"/>
        <v>4.8437999999999999</v>
      </c>
      <c r="G7" s="207">
        <f t="shared" si="2"/>
        <v>5.9135999999999997</v>
      </c>
      <c r="H7" s="207">
        <f t="shared" si="2"/>
        <v>7.05</v>
      </c>
      <c r="I7" s="207">
        <f t="shared" si="2"/>
        <v>8.32</v>
      </c>
      <c r="J7" s="207">
        <f t="shared" si="2"/>
        <v>9.7308000000000003</v>
      </c>
      <c r="K7" s="207">
        <f t="shared" si="2"/>
        <v>11.3904</v>
      </c>
      <c r="L7" s="207">
        <f t="shared" si="2"/>
        <v>13.113799999999999</v>
      </c>
    </row>
    <row r="8" spans="1:12" ht="15" x14ac:dyDescent="0.25">
      <c r="A8" s="116"/>
      <c r="B8" s="206"/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2" ht="15" x14ac:dyDescent="0.25">
      <c r="A9" s="138" t="s">
        <v>82</v>
      </c>
      <c r="B9" s="257" t="s">
        <v>624</v>
      </c>
      <c r="C9" s="115">
        <v>10</v>
      </c>
      <c r="D9" s="115">
        <f>+ROUND(C9*1.05,)</f>
        <v>11</v>
      </c>
      <c r="E9" s="115">
        <f t="shared" ref="E9:L9" si="3">+ROUND(D9*1.05,)</f>
        <v>12</v>
      </c>
      <c r="F9" s="115">
        <f t="shared" si="3"/>
        <v>13</v>
      </c>
      <c r="G9" s="115">
        <f t="shared" si="3"/>
        <v>14</v>
      </c>
      <c r="H9" s="115">
        <f t="shared" si="3"/>
        <v>15</v>
      </c>
      <c r="I9" s="115">
        <f t="shared" si="3"/>
        <v>16</v>
      </c>
      <c r="J9" s="115">
        <f t="shared" si="3"/>
        <v>17</v>
      </c>
      <c r="K9" s="115">
        <f t="shared" si="3"/>
        <v>18</v>
      </c>
      <c r="L9" s="115">
        <f t="shared" si="3"/>
        <v>19</v>
      </c>
    </row>
    <row r="10" spans="1:12" x14ac:dyDescent="0.2">
      <c r="A10" s="116"/>
      <c r="B10" s="115" t="s">
        <v>623</v>
      </c>
      <c r="C10" s="202">
        <f>+C5</f>
        <v>126</v>
      </c>
      <c r="D10" s="202">
        <f t="shared" ref="D10:L10" si="4">+D5</f>
        <v>138</v>
      </c>
      <c r="E10" s="202">
        <f t="shared" si="4"/>
        <v>150</v>
      </c>
      <c r="F10" s="202">
        <f t="shared" si="4"/>
        <v>162</v>
      </c>
      <c r="G10" s="202">
        <f t="shared" si="4"/>
        <v>176</v>
      </c>
      <c r="H10" s="202">
        <f t="shared" si="4"/>
        <v>188</v>
      </c>
      <c r="I10" s="202">
        <f t="shared" si="4"/>
        <v>200</v>
      </c>
      <c r="J10" s="202">
        <f t="shared" si="4"/>
        <v>212</v>
      </c>
      <c r="K10" s="202">
        <f t="shared" si="4"/>
        <v>226</v>
      </c>
      <c r="L10" s="202">
        <f t="shared" si="4"/>
        <v>238</v>
      </c>
    </row>
    <row r="11" spans="1:12" x14ac:dyDescent="0.2">
      <c r="A11" s="116"/>
      <c r="B11" s="115" t="s">
        <v>627</v>
      </c>
      <c r="C11" s="202">
        <v>100</v>
      </c>
      <c r="D11" s="202">
        <f>+ROUND(C11*1.05,-1)</f>
        <v>110</v>
      </c>
      <c r="E11" s="202">
        <f t="shared" ref="E11:L11" si="5">+ROUND(D11*1.05,-1)</f>
        <v>120</v>
      </c>
      <c r="F11" s="202">
        <f t="shared" si="5"/>
        <v>130</v>
      </c>
      <c r="G11" s="202">
        <f t="shared" si="5"/>
        <v>140</v>
      </c>
      <c r="H11" s="202">
        <f t="shared" si="5"/>
        <v>150</v>
      </c>
      <c r="I11" s="202">
        <f t="shared" si="5"/>
        <v>160</v>
      </c>
      <c r="J11" s="202">
        <f t="shared" si="5"/>
        <v>170</v>
      </c>
      <c r="K11" s="202">
        <f t="shared" si="5"/>
        <v>180</v>
      </c>
      <c r="L11" s="202">
        <f t="shared" si="5"/>
        <v>190</v>
      </c>
    </row>
    <row r="12" spans="1:12" ht="15" x14ac:dyDescent="0.25">
      <c r="A12" s="116"/>
      <c r="B12" s="206" t="s">
        <v>320</v>
      </c>
      <c r="C12" s="207">
        <f>+C9*C10*C11/100000</f>
        <v>1.26</v>
      </c>
      <c r="D12" s="207">
        <f t="shared" ref="D12" si="6">+D9*D10*D11/100000</f>
        <v>1.6698</v>
      </c>
      <c r="E12" s="207">
        <f t="shared" ref="E12" si="7">+E9*E10*E11/100000</f>
        <v>2.16</v>
      </c>
      <c r="F12" s="207">
        <f t="shared" ref="F12" si="8">+F9*F10*F11/100000</f>
        <v>2.7378</v>
      </c>
      <c r="G12" s="207">
        <f t="shared" ref="G12" si="9">+G9*G10*G11/100000</f>
        <v>3.4496000000000002</v>
      </c>
      <c r="H12" s="207">
        <f t="shared" ref="H12" si="10">+H9*H10*H11/100000</f>
        <v>4.2300000000000004</v>
      </c>
      <c r="I12" s="207">
        <f t="shared" ref="I12" si="11">+I9*I10*I11/100000</f>
        <v>5.12</v>
      </c>
      <c r="J12" s="207">
        <f t="shared" ref="J12" si="12">+J9*J10*J11/100000</f>
        <v>6.1268000000000002</v>
      </c>
      <c r="K12" s="207">
        <f t="shared" ref="K12" si="13">+K9*K10*K11/100000</f>
        <v>7.3224</v>
      </c>
      <c r="L12" s="207">
        <f t="shared" ref="L12" si="14">+L9*L10*L11/100000</f>
        <v>8.5917999999999992</v>
      </c>
    </row>
    <row r="13" spans="1:12" x14ac:dyDescent="0.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2" ht="15" x14ac:dyDescent="0.25">
      <c r="A14" s="116"/>
      <c r="B14" s="141" t="s">
        <v>625</v>
      </c>
      <c r="C14" s="208">
        <f>+C7+C12</f>
        <v>3.7800000000000002</v>
      </c>
      <c r="D14" s="208">
        <f t="shared" ref="D14:L14" si="15">+D7+D12</f>
        <v>4.8575999999999997</v>
      </c>
      <c r="E14" s="208">
        <f t="shared" si="15"/>
        <v>6.12</v>
      </c>
      <c r="F14" s="208">
        <f t="shared" si="15"/>
        <v>7.5815999999999999</v>
      </c>
      <c r="G14" s="208">
        <f t="shared" si="15"/>
        <v>9.3631999999999991</v>
      </c>
      <c r="H14" s="208">
        <f t="shared" si="15"/>
        <v>11.280000000000001</v>
      </c>
      <c r="I14" s="208">
        <f t="shared" si="15"/>
        <v>13.440000000000001</v>
      </c>
      <c r="J14" s="208">
        <f t="shared" si="15"/>
        <v>15.857600000000001</v>
      </c>
      <c r="K14" s="208">
        <f t="shared" si="15"/>
        <v>18.712800000000001</v>
      </c>
      <c r="L14" s="208">
        <f t="shared" si="15"/>
        <v>21.705599999999997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view="pageBreakPreview" topLeftCell="A42" zoomScale="60" zoomScaleNormal="100" workbookViewId="0">
      <selection activeCell="C5" sqref="A1:XFD1048576"/>
    </sheetView>
  </sheetViews>
  <sheetFormatPr defaultColWidth="10.42578125" defaultRowHeight="12.75" x14ac:dyDescent="0.2"/>
  <cols>
    <col min="1" max="1" width="21" style="136" customWidth="1"/>
    <col min="2" max="2" width="14.85546875" style="136" customWidth="1"/>
    <col min="3" max="12" width="9.85546875" style="136" customWidth="1"/>
    <col min="13" max="13" width="12.5703125" style="136" bestFit="1" customWidth="1"/>
    <col min="14" max="14" width="13.140625" style="136" customWidth="1"/>
    <col min="15" max="15" width="14.140625" style="136" customWidth="1"/>
    <col min="16" max="16" width="4.42578125" style="136" bestFit="1" customWidth="1"/>
    <col min="17" max="17" width="9.85546875" style="136" bestFit="1" customWidth="1"/>
    <col min="18" max="26" width="9.42578125" style="136" customWidth="1"/>
    <col min="27" max="16384" width="10.42578125" style="136"/>
  </cols>
  <sheetData>
    <row r="2" spans="1:17" x14ac:dyDescent="0.2">
      <c r="A2" s="203" t="s">
        <v>1</v>
      </c>
      <c r="B2" s="203" t="s">
        <v>109</v>
      </c>
      <c r="C2" s="132" t="s">
        <v>36</v>
      </c>
      <c r="D2" s="132" t="s">
        <v>37</v>
      </c>
      <c r="E2" s="132" t="s">
        <v>38</v>
      </c>
      <c r="F2" s="132" t="s">
        <v>39</v>
      </c>
      <c r="G2" s="132" t="s">
        <v>40</v>
      </c>
      <c r="H2" s="132" t="s">
        <v>41</v>
      </c>
      <c r="I2" s="132" t="s">
        <v>42</v>
      </c>
      <c r="J2" s="132" t="s">
        <v>494</v>
      </c>
      <c r="K2" s="132" t="s">
        <v>495</v>
      </c>
      <c r="L2" s="132" t="s">
        <v>496</v>
      </c>
      <c r="N2" s="376" t="s">
        <v>110</v>
      </c>
      <c r="O2" s="376"/>
      <c r="P2" s="376"/>
      <c r="Q2" s="376"/>
    </row>
    <row r="3" spans="1:17" x14ac:dyDescent="0.2">
      <c r="A3" s="204"/>
      <c r="B3" s="204"/>
      <c r="C3" s="129"/>
      <c r="D3" s="129"/>
      <c r="E3" s="129"/>
      <c r="F3" s="129"/>
      <c r="G3" s="129"/>
      <c r="H3" s="129"/>
      <c r="I3" s="129"/>
      <c r="J3" s="129"/>
      <c r="K3" s="129"/>
      <c r="L3" s="129"/>
      <c r="N3" s="129">
        <v>5</v>
      </c>
      <c r="O3" s="129">
        <v>200</v>
      </c>
      <c r="P3" s="129">
        <v>12</v>
      </c>
      <c r="Q3" s="205">
        <f>N3*O3*P3</f>
        <v>12000</v>
      </c>
    </row>
    <row r="4" spans="1:17" x14ac:dyDescent="0.2">
      <c r="A4" s="377" t="s">
        <v>111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9"/>
      <c r="N4" s="129"/>
      <c r="O4" s="129"/>
      <c r="P4" s="129"/>
      <c r="Q4" s="205"/>
    </row>
    <row r="5" spans="1:17" x14ac:dyDescent="0.2">
      <c r="A5" s="205" t="s">
        <v>112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N5" s="129">
        <v>60</v>
      </c>
      <c r="O5" s="129">
        <v>200</v>
      </c>
      <c r="P5" s="129">
        <v>12</v>
      </c>
      <c r="Q5" s="129">
        <f>N5*O5*P5</f>
        <v>144000</v>
      </c>
    </row>
    <row r="6" spans="1:17" x14ac:dyDescent="0.2">
      <c r="A6" s="129" t="s">
        <v>113</v>
      </c>
      <c r="B6" s="129" t="s">
        <v>114</v>
      </c>
      <c r="C6" s="135">
        <f>2000*12/100000</f>
        <v>0.24</v>
      </c>
      <c r="D6" s="135">
        <f t="shared" ref="D6:I16" si="0">C6*1.05</f>
        <v>0.252</v>
      </c>
      <c r="E6" s="135">
        <f t="shared" si="0"/>
        <v>0.2646</v>
      </c>
      <c r="F6" s="135">
        <f t="shared" si="0"/>
        <v>0.27783000000000002</v>
      </c>
      <c r="G6" s="135">
        <f t="shared" si="0"/>
        <v>0.29172150000000002</v>
      </c>
      <c r="H6" s="135">
        <f t="shared" si="0"/>
        <v>0.30630757500000005</v>
      </c>
      <c r="I6" s="135">
        <f t="shared" si="0"/>
        <v>0.32162295375000005</v>
      </c>
      <c r="J6" s="135">
        <f t="shared" ref="J6:J16" si="1">I6*1.05</f>
        <v>0.33770410143750007</v>
      </c>
      <c r="K6" s="135">
        <f t="shared" ref="K6:K16" si="2">J6*1.05</f>
        <v>0.35458930650937509</v>
      </c>
      <c r="L6" s="135">
        <f t="shared" ref="L6:L16" si="3">K6*1.05</f>
        <v>0.37231877183484385</v>
      </c>
      <c r="M6" s="304"/>
      <c r="N6" s="377" t="s">
        <v>115</v>
      </c>
      <c r="O6" s="378"/>
      <c r="P6" s="378"/>
      <c r="Q6" s="379"/>
    </row>
    <row r="7" spans="1:17" x14ac:dyDescent="0.2">
      <c r="A7" s="129" t="s">
        <v>116</v>
      </c>
      <c r="B7" s="129" t="s">
        <v>597</v>
      </c>
      <c r="C7" s="135">
        <f>1000*12/100000</f>
        <v>0.12</v>
      </c>
      <c r="D7" s="135">
        <f t="shared" si="0"/>
        <v>0.126</v>
      </c>
      <c r="E7" s="135">
        <f t="shared" si="0"/>
        <v>0.1323</v>
      </c>
      <c r="F7" s="135">
        <f t="shared" si="0"/>
        <v>0.13891500000000001</v>
      </c>
      <c r="G7" s="135">
        <f t="shared" si="0"/>
        <v>0.14586075000000001</v>
      </c>
      <c r="H7" s="135">
        <f t="shared" si="0"/>
        <v>0.15315378750000003</v>
      </c>
      <c r="I7" s="135">
        <f t="shared" si="0"/>
        <v>0.16081147687500003</v>
      </c>
      <c r="J7" s="135">
        <f t="shared" si="1"/>
        <v>0.16885205071875004</v>
      </c>
      <c r="K7" s="135">
        <f t="shared" si="2"/>
        <v>0.17729465325468755</v>
      </c>
      <c r="L7" s="135">
        <f t="shared" si="3"/>
        <v>0.18615938591742193</v>
      </c>
      <c r="M7" s="304"/>
      <c r="N7" s="129">
        <f>N5+N3</f>
        <v>65</v>
      </c>
      <c r="O7" s="129"/>
      <c r="P7" s="129"/>
      <c r="Q7" s="129"/>
    </row>
    <row r="8" spans="1:17" x14ac:dyDescent="0.2">
      <c r="A8" s="129" t="s">
        <v>596</v>
      </c>
      <c r="B8" s="129" t="s">
        <v>673</v>
      </c>
      <c r="C8" s="135">
        <v>0.03</v>
      </c>
      <c r="D8" s="135">
        <f>C8</f>
        <v>0.03</v>
      </c>
      <c r="E8" s="135">
        <f t="shared" ref="E8:L8" si="4">D8</f>
        <v>0.03</v>
      </c>
      <c r="F8" s="135">
        <f t="shared" si="4"/>
        <v>0.03</v>
      </c>
      <c r="G8" s="135">
        <f t="shared" si="4"/>
        <v>0.03</v>
      </c>
      <c r="H8" s="135">
        <f t="shared" si="4"/>
        <v>0.03</v>
      </c>
      <c r="I8" s="135">
        <f t="shared" si="4"/>
        <v>0.03</v>
      </c>
      <c r="J8" s="135">
        <f t="shared" si="4"/>
        <v>0.03</v>
      </c>
      <c r="K8" s="135">
        <f t="shared" si="4"/>
        <v>0.03</v>
      </c>
      <c r="L8" s="135">
        <f t="shared" si="4"/>
        <v>0.03</v>
      </c>
      <c r="M8" s="304"/>
      <c r="N8" s="129"/>
      <c r="O8" s="129"/>
      <c r="P8" s="129"/>
      <c r="Q8" s="129"/>
    </row>
    <row r="9" spans="1:17" x14ac:dyDescent="0.2">
      <c r="A9" s="129" t="s">
        <v>117</v>
      </c>
      <c r="B9" s="129" t="s">
        <v>118</v>
      </c>
      <c r="C9" s="135">
        <v>0.15</v>
      </c>
      <c r="D9" s="135">
        <f t="shared" si="0"/>
        <v>0.1575</v>
      </c>
      <c r="E9" s="135">
        <f t="shared" si="0"/>
        <v>0.16537500000000002</v>
      </c>
      <c r="F9" s="135">
        <f t="shared" si="0"/>
        <v>0.17364375000000004</v>
      </c>
      <c r="G9" s="135">
        <f t="shared" si="0"/>
        <v>0.18232593750000006</v>
      </c>
      <c r="H9" s="135">
        <f t="shared" si="0"/>
        <v>0.19144223437500008</v>
      </c>
      <c r="I9" s="135">
        <f t="shared" si="0"/>
        <v>0.2010143460937501</v>
      </c>
      <c r="J9" s="135">
        <f t="shared" si="1"/>
        <v>0.21106506339843761</v>
      </c>
      <c r="K9" s="135">
        <f t="shared" si="2"/>
        <v>0.22161831656835951</v>
      </c>
      <c r="L9" s="135">
        <f t="shared" si="3"/>
        <v>0.23269923239677751</v>
      </c>
      <c r="M9" s="304"/>
      <c r="N9" s="129">
        <v>0.8</v>
      </c>
      <c r="O9" s="129"/>
      <c r="P9" s="129"/>
      <c r="Q9" s="129"/>
    </row>
    <row r="10" spans="1:17" ht="25.5" x14ac:dyDescent="0.2">
      <c r="A10" s="129" t="s">
        <v>119</v>
      </c>
      <c r="B10" s="129" t="s">
        <v>120</v>
      </c>
      <c r="C10" s="135">
        <f>Q3/100000</f>
        <v>0.12</v>
      </c>
      <c r="D10" s="135">
        <f t="shared" si="0"/>
        <v>0.126</v>
      </c>
      <c r="E10" s="135">
        <f t="shared" si="0"/>
        <v>0.1323</v>
      </c>
      <c r="F10" s="135">
        <f t="shared" si="0"/>
        <v>0.13891500000000001</v>
      </c>
      <c r="G10" s="135">
        <f t="shared" si="0"/>
        <v>0.14586075000000001</v>
      </c>
      <c r="H10" s="135">
        <f t="shared" si="0"/>
        <v>0.15315378750000003</v>
      </c>
      <c r="I10" s="135">
        <f t="shared" si="0"/>
        <v>0.16081147687500003</v>
      </c>
      <c r="J10" s="135">
        <f t="shared" si="1"/>
        <v>0.16885205071875004</v>
      </c>
      <c r="K10" s="135">
        <f t="shared" si="2"/>
        <v>0.17729465325468755</v>
      </c>
      <c r="L10" s="135">
        <f t="shared" si="3"/>
        <v>0.18615938591742193</v>
      </c>
      <c r="M10" s="304"/>
      <c r="N10" s="129">
        <v>0.8</v>
      </c>
      <c r="O10" s="129"/>
      <c r="P10" s="129"/>
      <c r="Q10" s="129"/>
    </row>
    <row r="11" spans="1:17" x14ac:dyDescent="0.2">
      <c r="A11" s="129" t="s">
        <v>121</v>
      </c>
      <c r="B11" s="129" t="s">
        <v>122</v>
      </c>
      <c r="C11" s="135">
        <f>3000*12/100000</f>
        <v>0.36</v>
      </c>
      <c r="D11" s="135">
        <f t="shared" ref="D11" si="5">C11*1.05</f>
        <v>0.378</v>
      </c>
      <c r="E11" s="135">
        <f t="shared" ref="E11" si="6">D11*1.05</f>
        <v>0.39690000000000003</v>
      </c>
      <c r="F11" s="135">
        <f t="shared" ref="F11" si="7">E11*1.05</f>
        <v>0.41674500000000003</v>
      </c>
      <c r="G11" s="135">
        <f t="shared" ref="G11" si="8">F11*1.05</f>
        <v>0.43758225000000006</v>
      </c>
      <c r="H11" s="135">
        <f t="shared" ref="H11" si="9">G11*1.05</f>
        <v>0.45946136250000008</v>
      </c>
      <c r="I11" s="135">
        <f t="shared" ref="I11" si="10">H11*1.05</f>
        <v>0.48243443062500013</v>
      </c>
      <c r="J11" s="135">
        <f t="shared" ref="J11" si="11">I11*1.05</f>
        <v>0.50655615215625016</v>
      </c>
      <c r="K11" s="135">
        <f t="shared" ref="K11" si="12">J11*1.05</f>
        <v>0.53188395976406266</v>
      </c>
      <c r="L11" s="135">
        <f t="shared" ref="L11" si="13">K11*1.05</f>
        <v>0.55847815775226584</v>
      </c>
      <c r="M11" s="304"/>
      <c r="N11" s="129">
        <v>10</v>
      </c>
      <c r="O11" s="129"/>
      <c r="P11" s="129"/>
      <c r="Q11" s="129"/>
    </row>
    <row r="12" spans="1:17" x14ac:dyDescent="0.2">
      <c r="A12" s="129" t="s">
        <v>123</v>
      </c>
      <c r="B12" s="129" t="s">
        <v>122</v>
      </c>
      <c r="C12" s="135">
        <f>3000*12/100000</f>
        <v>0.36</v>
      </c>
      <c r="D12" s="135">
        <f t="shared" si="0"/>
        <v>0.378</v>
      </c>
      <c r="E12" s="135">
        <f t="shared" si="0"/>
        <v>0.39690000000000003</v>
      </c>
      <c r="F12" s="135">
        <f t="shared" si="0"/>
        <v>0.41674500000000003</v>
      </c>
      <c r="G12" s="135">
        <f t="shared" si="0"/>
        <v>0.43758225000000006</v>
      </c>
      <c r="H12" s="135">
        <f t="shared" si="0"/>
        <v>0.45946136250000008</v>
      </c>
      <c r="I12" s="135">
        <f t="shared" si="0"/>
        <v>0.48243443062500013</v>
      </c>
      <c r="J12" s="135">
        <f t="shared" si="1"/>
        <v>0.50655615215625016</v>
      </c>
      <c r="K12" s="135">
        <f t="shared" si="2"/>
        <v>0.53188395976406266</v>
      </c>
      <c r="L12" s="135">
        <f t="shared" si="3"/>
        <v>0.55847815775226584</v>
      </c>
      <c r="M12" s="304"/>
      <c r="N12" s="129">
        <v>10</v>
      </c>
      <c r="O12" s="129"/>
      <c r="P12" s="129"/>
      <c r="Q12" s="129"/>
    </row>
    <row r="13" spans="1:17" ht="25.5" x14ac:dyDescent="0.2">
      <c r="A13" s="129" t="s">
        <v>124</v>
      </c>
      <c r="B13" s="129" t="s">
        <v>125</v>
      </c>
      <c r="C13" s="135">
        <f>SUM('Manpower Schedule'!G3:G9)</f>
        <v>5.04</v>
      </c>
      <c r="D13" s="135">
        <f t="shared" si="0"/>
        <v>5.2920000000000007</v>
      </c>
      <c r="E13" s="135">
        <f t="shared" si="0"/>
        <v>5.5566000000000013</v>
      </c>
      <c r="F13" s="135">
        <f t="shared" si="0"/>
        <v>5.834430000000002</v>
      </c>
      <c r="G13" s="135">
        <f t="shared" si="0"/>
        <v>6.1261515000000024</v>
      </c>
      <c r="H13" s="135">
        <f t="shared" si="0"/>
        <v>6.4324590750000032</v>
      </c>
      <c r="I13" s="135">
        <f t="shared" si="0"/>
        <v>6.7540820287500036</v>
      </c>
      <c r="J13" s="135">
        <f t="shared" si="1"/>
        <v>7.0917861301875043</v>
      </c>
      <c r="K13" s="135">
        <f t="shared" si="2"/>
        <v>7.4463754366968802</v>
      </c>
      <c r="L13" s="135">
        <f t="shared" si="3"/>
        <v>7.8186942085317241</v>
      </c>
      <c r="M13" s="304"/>
      <c r="N13" s="205">
        <f>N7*N9*N10*N11*N12</f>
        <v>4160</v>
      </c>
      <c r="O13" s="129"/>
      <c r="P13" s="129"/>
      <c r="Q13" s="129"/>
    </row>
    <row r="14" spans="1:17" x14ac:dyDescent="0.2">
      <c r="A14" s="129" t="s">
        <v>126</v>
      </c>
      <c r="B14" s="129" t="s">
        <v>631</v>
      </c>
      <c r="C14" s="135">
        <f>5000*12/100000</f>
        <v>0.6</v>
      </c>
      <c r="D14" s="135">
        <f t="shared" si="0"/>
        <v>0.63</v>
      </c>
      <c r="E14" s="135">
        <f t="shared" si="0"/>
        <v>0.66150000000000009</v>
      </c>
      <c r="F14" s="135">
        <f t="shared" si="0"/>
        <v>0.69457500000000016</v>
      </c>
      <c r="G14" s="135">
        <f t="shared" si="0"/>
        <v>0.72930375000000025</v>
      </c>
      <c r="H14" s="135">
        <f t="shared" si="0"/>
        <v>0.7657689375000003</v>
      </c>
      <c r="I14" s="135">
        <f t="shared" si="0"/>
        <v>0.80405738437500041</v>
      </c>
      <c r="J14" s="135">
        <f t="shared" si="1"/>
        <v>0.84426025359375045</v>
      </c>
      <c r="K14" s="135">
        <f t="shared" si="2"/>
        <v>0.88647326627343803</v>
      </c>
      <c r="L14" s="135">
        <f t="shared" si="3"/>
        <v>0.93079692958711002</v>
      </c>
      <c r="M14" s="304"/>
    </row>
    <row r="15" spans="1:17" x14ac:dyDescent="0.2">
      <c r="A15" s="129" t="s">
        <v>127</v>
      </c>
      <c r="B15" s="129" t="s">
        <v>631</v>
      </c>
      <c r="C15" s="135">
        <f>5000*12/100000</f>
        <v>0.6</v>
      </c>
      <c r="D15" s="135">
        <f t="shared" si="0"/>
        <v>0.63</v>
      </c>
      <c r="E15" s="135">
        <f t="shared" si="0"/>
        <v>0.66150000000000009</v>
      </c>
      <c r="F15" s="135">
        <f t="shared" si="0"/>
        <v>0.69457500000000016</v>
      </c>
      <c r="G15" s="135">
        <f t="shared" si="0"/>
        <v>0.72930375000000025</v>
      </c>
      <c r="H15" s="135">
        <f t="shared" si="0"/>
        <v>0.7657689375000003</v>
      </c>
      <c r="I15" s="135">
        <f t="shared" si="0"/>
        <v>0.80405738437500041</v>
      </c>
      <c r="J15" s="135">
        <f t="shared" si="1"/>
        <v>0.84426025359375045</v>
      </c>
      <c r="K15" s="135">
        <f t="shared" si="2"/>
        <v>0.88647326627343803</v>
      </c>
      <c r="L15" s="135">
        <f t="shared" si="3"/>
        <v>0.93079692958711002</v>
      </c>
      <c r="M15" s="304"/>
    </row>
    <row r="16" spans="1:17" x14ac:dyDescent="0.2">
      <c r="A16" s="129" t="s">
        <v>128</v>
      </c>
      <c r="B16" s="129" t="s">
        <v>129</v>
      </c>
      <c r="C16" s="135">
        <v>0.12</v>
      </c>
      <c r="D16" s="135">
        <f t="shared" si="0"/>
        <v>0.126</v>
      </c>
      <c r="E16" s="135">
        <f t="shared" si="0"/>
        <v>0.1323</v>
      </c>
      <c r="F16" s="135">
        <f t="shared" si="0"/>
        <v>0.13891500000000001</v>
      </c>
      <c r="G16" s="135">
        <f t="shared" si="0"/>
        <v>0.14586075000000001</v>
      </c>
      <c r="H16" s="135">
        <f t="shared" si="0"/>
        <v>0.15315378750000003</v>
      </c>
      <c r="I16" s="135">
        <f t="shared" si="0"/>
        <v>0.16081147687500003</v>
      </c>
      <c r="J16" s="135">
        <f t="shared" si="1"/>
        <v>0.16885205071875004</v>
      </c>
      <c r="K16" s="135">
        <f t="shared" si="2"/>
        <v>0.17729465325468755</v>
      </c>
      <c r="L16" s="135">
        <f t="shared" si="3"/>
        <v>0.18615938591742193</v>
      </c>
      <c r="M16" s="304"/>
      <c r="O16" s="136">
        <f>N7*N9*N10</f>
        <v>41.6</v>
      </c>
      <c r="Q16" s="136">
        <f>N7*N9*N10</f>
        <v>41.6</v>
      </c>
    </row>
    <row r="17" spans="1:13" ht="25.5" x14ac:dyDescent="0.2">
      <c r="A17" s="129" t="s">
        <v>130</v>
      </c>
      <c r="B17" s="129" t="s">
        <v>131</v>
      </c>
      <c r="C17" s="135">
        <f t="shared" ref="C17:I17" si="14">C13*0.1</f>
        <v>0.504</v>
      </c>
      <c r="D17" s="135">
        <f t="shared" si="14"/>
        <v>0.52920000000000011</v>
      </c>
      <c r="E17" s="135">
        <f t="shared" si="14"/>
        <v>0.55566000000000015</v>
      </c>
      <c r="F17" s="135">
        <f t="shared" si="14"/>
        <v>0.58344300000000027</v>
      </c>
      <c r="G17" s="135">
        <f t="shared" si="14"/>
        <v>0.61261515000000033</v>
      </c>
      <c r="H17" s="135">
        <f t="shared" si="14"/>
        <v>0.64324590750000032</v>
      </c>
      <c r="I17" s="135">
        <f t="shared" si="14"/>
        <v>0.67540820287500036</v>
      </c>
      <c r="J17" s="135">
        <f t="shared" ref="J17:L17" si="15">J13*0.1</f>
        <v>0.70917861301875051</v>
      </c>
      <c r="K17" s="135">
        <f t="shared" si="15"/>
        <v>0.74463754366968804</v>
      </c>
      <c r="L17" s="135">
        <f t="shared" si="15"/>
        <v>0.78186942085317246</v>
      </c>
      <c r="M17" s="304"/>
    </row>
    <row r="18" spans="1:13" ht="25.5" x14ac:dyDescent="0.2">
      <c r="A18" s="205" t="s">
        <v>132</v>
      </c>
      <c r="B18" s="205"/>
      <c r="C18" s="305">
        <f t="shared" ref="C18:I18" si="16">SUM(C6:C17)</f>
        <v>8.2439999999999998</v>
      </c>
      <c r="D18" s="305">
        <f t="shared" si="16"/>
        <v>8.6547000000000001</v>
      </c>
      <c r="E18" s="305">
        <f t="shared" si="16"/>
        <v>9.0859350000000028</v>
      </c>
      <c r="F18" s="305">
        <f t="shared" si="16"/>
        <v>9.5387317500000037</v>
      </c>
      <c r="G18" s="305">
        <f t="shared" si="16"/>
        <v>10.014168337500003</v>
      </c>
      <c r="H18" s="305">
        <f t="shared" si="16"/>
        <v>10.513376754375006</v>
      </c>
      <c r="I18" s="305">
        <f t="shared" si="16"/>
        <v>11.037545592093753</v>
      </c>
      <c r="J18" s="305">
        <f t="shared" ref="J18:L18" si="17">SUM(J6:J17)</f>
        <v>11.587922871698444</v>
      </c>
      <c r="K18" s="305">
        <f t="shared" si="17"/>
        <v>12.165819015283367</v>
      </c>
      <c r="L18" s="305">
        <f t="shared" si="17"/>
        <v>12.772609966047538</v>
      </c>
    </row>
    <row r="19" spans="1:13" x14ac:dyDescent="0.2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306"/>
    </row>
    <row r="20" spans="1:13" x14ac:dyDescent="0.2">
      <c r="A20" s="205"/>
      <c r="B20" s="2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6"/>
    </row>
    <row r="21" spans="1:13" x14ac:dyDescent="0.2">
      <c r="A21" s="205" t="s">
        <v>133</v>
      </c>
      <c r="B21" s="204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3" ht="38.25" x14ac:dyDescent="0.2">
      <c r="A22" s="129" t="s">
        <v>134</v>
      </c>
      <c r="B22" s="307" t="s">
        <v>632</v>
      </c>
      <c r="C22" s="135">
        <f>+Depn!C19*1%</f>
        <v>1.9564000000000001</v>
      </c>
      <c r="D22" s="135">
        <f t="shared" ref="D22:I25" si="18">C22*1.05</f>
        <v>2.0542200000000004</v>
      </c>
      <c r="E22" s="135">
        <f t="shared" si="18"/>
        <v>2.1569310000000006</v>
      </c>
      <c r="F22" s="135">
        <f t="shared" si="18"/>
        <v>2.2647775500000007</v>
      </c>
      <c r="G22" s="135">
        <f t="shared" si="18"/>
        <v>2.3780164275000009</v>
      </c>
      <c r="H22" s="135">
        <f t="shared" si="18"/>
        <v>2.4969172488750009</v>
      </c>
      <c r="I22" s="135">
        <f t="shared" si="18"/>
        <v>2.6217631113187512</v>
      </c>
      <c r="J22" s="135">
        <f t="shared" ref="J22:J25" si="19">I22*1.05</f>
        <v>2.7528512668846887</v>
      </c>
      <c r="K22" s="135">
        <f t="shared" ref="K22:K25" si="20">J22*1.05</f>
        <v>2.8904938302289231</v>
      </c>
      <c r="L22" s="135">
        <f t="shared" ref="L22:L25" si="21">K22*1.05</f>
        <v>3.0350185217403696</v>
      </c>
    </row>
    <row r="23" spans="1:13" ht="38.25" x14ac:dyDescent="0.2">
      <c r="A23" s="129" t="s">
        <v>135</v>
      </c>
      <c r="B23" s="129" t="s">
        <v>136</v>
      </c>
      <c r="C23" s="135">
        <f>('Project Glance'!B6+'Project Glance'!B8+'Project Glance'!B9+'Project Glance'!B11+'Project Glance'!B7)*0.5%</f>
        <v>0.97820000000000007</v>
      </c>
      <c r="D23" s="135">
        <f t="shared" si="18"/>
        <v>1.0271100000000002</v>
      </c>
      <c r="E23" s="135">
        <f t="shared" si="18"/>
        <v>1.0784655000000003</v>
      </c>
      <c r="F23" s="135">
        <f t="shared" si="18"/>
        <v>1.1323887750000003</v>
      </c>
      <c r="G23" s="135">
        <f t="shared" si="18"/>
        <v>1.1890082137500004</v>
      </c>
      <c r="H23" s="135">
        <f t="shared" si="18"/>
        <v>1.2484586244375004</v>
      </c>
      <c r="I23" s="135">
        <f t="shared" si="18"/>
        <v>1.3108815556593756</v>
      </c>
      <c r="J23" s="135">
        <f t="shared" si="19"/>
        <v>1.3764256334423444</v>
      </c>
      <c r="K23" s="135">
        <f t="shared" si="20"/>
        <v>1.4452469151144616</v>
      </c>
      <c r="L23" s="135">
        <f t="shared" si="21"/>
        <v>1.5175092608701848</v>
      </c>
    </row>
    <row r="24" spans="1:13" ht="25.5" x14ac:dyDescent="0.2">
      <c r="A24" s="129" t="s">
        <v>137</v>
      </c>
      <c r="B24" s="129" t="s">
        <v>138</v>
      </c>
      <c r="C24" s="135">
        <f>SUM('Manpower Schedule'!G11:G17)</f>
        <v>7.08</v>
      </c>
      <c r="D24" s="135">
        <f t="shared" si="18"/>
        <v>7.4340000000000002</v>
      </c>
      <c r="E24" s="135">
        <f t="shared" si="18"/>
        <v>7.8057000000000007</v>
      </c>
      <c r="F24" s="135">
        <f t="shared" si="18"/>
        <v>8.1959850000000003</v>
      </c>
      <c r="G24" s="135">
        <f t="shared" si="18"/>
        <v>8.605784250000001</v>
      </c>
      <c r="H24" s="135">
        <f t="shared" si="18"/>
        <v>9.036073462500001</v>
      </c>
      <c r="I24" s="135">
        <f t="shared" si="18"/>
        <v>9.487877135625002</v>
      </c>
      <c r="J24" s="135">
        <f t="shared" si="19"/>
        <v>9.9622709924062534</v>
      </c>
      <c r="K24" s="135">
        <f t="shared" si="20"/>
        <v>10.460384542026567</v>
      </c>
      <c r="L24" s="135">
        <f t="shared" si="21"/>
        <v>10.983403769127897</v>
      </c>
    </row>
    <row r="25" spans="1:13" ht="25.5" x14ac:dyDescent="0.2">
      <c r="A25" s="129" t="s">
        <v>139</v>
      </c>
      <c r="B25" s="129" t="s">
        <v>675</v>
      </c>
      <c r="C25" s="135">
        <f>Q5/100000</f>
        <v>1.44</v>
      </c>
      <c r="D25" s="135">
        <f t="shared" si="18"/>
        <v>1.512</v>
      </c>
      <c r="E25" s="135">
        <f t="shared" si="18"/>
        <v>1.5876000000000001</v>
      </c>
      <c r="F25" s="135">
        <f t="shared" si="18"/>
        <v>1.6669800000000001</v>
      </c>
      <c r="G25" s="135">
        <f t="shared" si="18"/>
        <v>1.7503290000000002</v>
      </c>
      <c r="H25" s="135">
        <f t="shared" si="18"/>
        <v>1.8378454500000003</v>
      </c>
      <c r="I25" s="135">
        <f t="shared" si="18"/>
        <v>1.9297377225000005</v>
      </c>
      <c r="J25" s="135">
        <f t="shared" si="19"/>
        <v>2.0262246086250006</v>
      </c>
      <c r="K25" s="135">
        <f t="shared" si="20"/>
        <v>2.1275358390562507</v>
      </c>
      <c r="L25" s="135">
        <f t="shared" si="21"/>
        <v>2.2339126310090633</v>
      </c>
    </row>
    <row r="26" spans="1:13" ht="38.25" hidden="1" x14ac:dyDescent="0.2">
      <c r="A26" s="129" t="s">
        <v>454</v>
      </c>
      <c r="B26" s="129"/>
      <c r="C26" s="135">
        <f>'Production Level Support'!B3</f>
        <v>0</v>
      </c>
      <c r="D26" s="135">
        <f>'Production Level Support'!C3</f>
        <v>0</v>
      </c>
      <c r="E26" s="135">
        <f>'Production Level Support'!D3</f>
        <v>0</v>
      </c>
      <c r="F26" s="135">
        <f>'Production Level Support'!E3</f>
        <v>0</v>
      </c>
      <c r="G26" s="135">
        <f>'Production Level Support'!F3</f>
        <v>0</v>
      </c>
      <c r="H26" s="135">
        <f>'Production Level Support'!G3</f>
        <v>0</v>
      </c>
      <c r="I26" s="135">
        <f>'Production Level Support'!H3</f>
        <v>0</v>
      </c>
      <c r="J26" s="135"/>
      <c r="K26" s="135"/>
      <c r="L26" s="135"/>
    </row>
    <row r="27" spans="1:13" ht="25.5" x14ac:dyDescent="0.2">
      <c r="A27" s="205" t="s">
        <v>140</v>
      </c>
      <c r="B27" s="205"/>
      <c r="C27" s="308">
        <f>SUM(C22:C25)</f>
        <v>11.454599999999999</v>
      </c>
      <c r="D27" s="308">
        <f t="shared" ref="D27:L27" si="22">SUM(D22:D25)</f>
        <v>12.027330000000001</v>
      </c>
      <c r="E27" s="308">
        <f t="shared" si="22"/>
        <v>12.628696500000002</v>
      </c>
      <c r="F27" s="308">
        <f t="shared" si="22"/>
        <v>13.260131325000001</v>
      </c>
      <c r="G27" s="308">
        <f t="shared" si="22"/>
        <v>13.923137891250004</v>
      </c>
      <c r="H27" s="308">
        <f t="shared" si="22"/>
        <v>14.619294785812503</v>
      </c>
      <c r="I27" s="308">
        <f t="shared" si="22"/>
        <v>15.35025952510313</v>
      </c>
      <c r="J27" s="308">
        <f t="shared" si="22"/>
        <v>16.117772501358289</v>
      </c>
      <c r="K27" s="308">
        <f t="shared" si="22"/>
        <v>16.923661126426204</v>
      </c>
      <c r="L27" s="308">
        <f t="shared" si="22"/>
        <v>17.769844182747512</v>
      </c>
    </row>
    <row r="28" spans="1:13" x14ac:dyDescent="0.2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1:13" x14ac:dyDescent="0.2">
      <c r="A29" s="377" t="s">
        <v>141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9"/>
    </row>
    <row r="30" spans="1:13" ht="25.5" x14ac:dyDescent="0.2">
      <c r="A30" s="129" t="s">
        <v>142</v>
      </c>
      <c r="B30" s="129" t="s">
        <v>143</v>
      </c>
      <c r="C30" s="135">
        <f>'Manpower Schedule'!B23*300*'Output Schedule'!B45/100000</f>
        <v>2.2679999999999998</v>
      </c>
      <c r="D30" s="135">
        <f>'Manpower Schedule'!C23*300*'Output Schedule'!C45/100000</f>
        <v>2.8980000000000001</v>
      </c>
      <c r="E30" s="135">
        <f>'Manpower Schedule'!D23*300*'Output Schedule'!D45/100000</f>
        <v>3.6</v>
      </c>
      <c r="F30" s="135">
        <f>'Manpower Schedule'!E23*300*'Output Schedule'!E45/100000</f>
        <v>4.3739999999999997</v>
      </c>
      <c r="G30" s="135">
        <f>'Manpower Schedule'!F23*300*'Output Schedule'!F45/100000</f>
        <v>5.28</v>
      </c>
      <c r="H30" s="135">
        <f>'Manpower Schedule'!G23*300*'Output Schedule'!G45/100000</f>
        <v>6.2039999999999997</v>
      </c>
      <c r="I30" s="135">
        <f>'Manpower Schedule'!H23*300*'Output Schedule'!H45/100000</f>
        <v>7.2</v>
      </c>
      <c r="J30" s="135">
        <f>'Manpower Schedule'!I23*300*'Output Schedule'!I45/100000</f>
        <v>7.6319999999999997</v>
      </c>
      <c r="K30" s="135">
        <f>'Manpower Schedule'!J23*300*'Output Schedule'!J45/100000</f>
        <v>8.1359999999999992</v>
      </c>
      <c r="L30" s="135">
        <f>'Manpower Schedule'!K23*300*'Output Schedule'!K45/100000</f>
        <v>8.5679999999999996</v>
      </c>
    </row>
    <row r="31" spans="1:13" ht="25.5" x14ac:dyDescent="0.2">
      <c r="A31" s="309" t="s">
        <v>139</v>
      </c>
      <c r="B31" s="129" t="s">
        <v>674</v>
      </c>
      <c r="C31" s="135">
        <f>$N$13*'Output Schedule'!B45/100000</f>
        <v>5.2416</v>
      </c>
      <c r="D31" s="135">
        <f>$N$13*'Output Schedule'!C45/100000</f>
        <v>5.7408000000000001</v>
      </c>
      <c r="E31" s="135">
        <f>$N$13*'Output Schedule'!D45/100000</f>
        <v>6.24</v>
      </c>
      <c r="F31" s="135">
        <f>$N$13*'Output Schedule'!E45/100000</f>
        <v>6.7392000000000003</v>
      </c>
      <c r="G31" s="135">
        <f>$N$13*'Output Schedule'!F45/100000</f>
        <v>7.3216000000000001</v>
      </c>
      <c r="H31" s="135">
        <f>$N$13*'Output Schedule'!G45/100000</f>
        <v>7.8208000000000002</v>
      </c>
      <c r="I31" s="135">
        <f>$N$13*'Output Schedule'!H45/100000</f>
        <v>8.32</v>
      </c>
      <c r="J31" s="135">
        <f>$N$13*'Output Schedule'!I45/100000</f>
        <v>8.8192000000000004</v>
      </c>
      <c r="K31" s="135">
        <f>$N$13*'Output Schedule'!J45/100000</f>
        <v>9.4016000000000002</v>
      </c>
      <c r="L31" s="135">
        <f>$N$13*'Output Schedule'!K45/100000</f>
        <v>9.9008000000000003</v>
      </c>
    </row>
    <row r="32" spans="1:13" x14ac:dyDescent="0.2">
      <c r="A32" s="309" t="s">
        <v>145</v>
      </c>
      <c r="B32" s="309" t="s">
        <v>146</v>
      </c>
      <c r="C32" s="135">
        <f>50*'Output Schedule'!B45/100000</f>
        <v>6.3E-2</v>
      </c>
      <c r="D32" s="135">
        <f>50*'Output Schedule'!C45/100000</f>
        <v>6.9000000000000006E-2</v>
      </c>
      <c r="E32" s="135">
        <f>50*'Output Schedule'!D45/100000</f>
        <v>7.4999999999999997E-2</v>
      </c>
      <c r="F32" s="135">
        <f>50*'Output Schedule'!E45/100000</f>
        <v>8.1000000000000003E-2</v>
      </c>
      <c r="G32" s="135">
        <f>50*'Output Schedule'!F45/100000</f>
        <v>8.7999999999999995E-2</v>
      </c>
      <c r="H32" s="135">
        <f>50*'Output Schedule'!G45/100000</f>
        <v>9.4E-2</v>
      </c>
      <c r="I32" s="135">
        <f>50*'Output Schedule'!H45/100000</f>
        <v>0.1</v>
      </c>
      <c r="J32" s="135">
        <f>50*'Output Schedule'!I45/100000</f>
        <v>0.106</v>
      </c>
      <c r="K32" s="135">
        <f>50*'Output Schedule'!J45/100000</f>
        <v>0.113</v>
      </c>
      <c r="L32" s="135">
        <f>50*'Output Schedule'!K45/100000</f>
        <v>0.11899999999999999</v>
      </c>
    </row>
    <row r="33" spans="1:17" ht="25.5" x14ac:dyDescent="0.2">
      <c r="A33" s="129" t="s">
        <v>147</v>
      </c>
      <c r="B33" s="310" t="s">
        <v>634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3"/>
    </row>
    <row r="34" spans="1:17" ht="14.25" x14ac:dyDescent="0.2">
      <c r="A34" s="309" t="s">
        <v>148</v>
      </c>
      <c r="B34" s="310" t="s">
        <v>729</v>
      </c>
      <c r="C34" s="311">
        <f>400*'Output Schedule'!B17/100000</f>
        <v>1.4</v>
      </c>
      <c r="D34" s="311">
        <f>400*'Output Schedule'!C17/100000</f>
        <v>1.54</v>
      </c>
      <c r="E34" s="311">
        <f>400*'Output Schedule'!D17/100000</f>
        <v>1.68</v>
      </c>
      <c r="F34" s="311">
        <f>400*'Output Schedule'!E17/100000</f>
        <v>1.82</v>
      </c>
      <c r="G34" s="311">
        <f>400*'Output Schedule'!F17/100000</f>
        <v>1.96</v>
      </c>
      <c r="H34" s="311">
        <f>400*'Output Schedule'!G17/100000</f>
        <v>2.1</v>
      </c>
      <c r="I34" s="311">
        <f>400*'Output Schedule'!H17/100000</f>
        <v>2.2400000000000002</v>
      </c>
      <c r="J34" s="311">
        <f>400*'Output Schedule'!I17/100000</f>
        <v>2.38</v>
      </c>
      <c r="K34" s="311">
        <f>400*'Output Schedule'!J17/100000</f>
        <v>2.52</v>
      </c>
      <c r="L34" s="311">
        <f>400*'Output Schedule'!K17/100000</f>
        <v>2.66</v>
      </c>
      <c r="M34" s="133"/>
      <c r="N34" s="306"/>
      <c r="O34" s="312"/>
      <c r="P34" s="312"/>
      <c r="Q34" s="312"/>
    </row>
    <row r="35" spans="1:17" ht="38.25" x14ac:dyDescent="0.2">
      <c r="A35" s="129" t="s">
        <v>149</v>
      </c>
      <c r="B35" s="313" t="s">
        <v>150</v>
      </c>
      <c r="C35" s="135">
        <f>800*'Manpower Schedule'!B23/100000</f>
        <v>4.8000000000000001E-2</v>
      </c>
      <c r="D35" s="135">
        <f>800*'Manpower Schedule'!C23/100000</f>
        <v>5.6000000000000001E-2</v>
      </c>
      <c r="E35" s="135">
        <f>800*'Manpower Schedule'!D23/100000</f>
        <v>6.4000000000000001E-2</v>
      </c>
      <c r="F35" s="135">
        <f>800*'Manpower Schedule'!E23/100000</f>
        <v>7.1999999999999995E-2</v>
      </c>
      <c r="G35" s="135">
        <f>800*'Manpower Schedule'!F23/100000</f>
        <v>0.08</v>
      </c>
      <c r="H35" s="135">
        <f>800*'Manpower Schedule'!G23/100000</f>
        <v>8.7999999999999995E-2</v>
      </c>
      <c r="I35" s="135">
        <f>800*'Manpower Schedule'!H23/100000</f>
        <v>9.6000000000000002E-2</v>
      </c>
      <c r="J35" s="135">
        <f>800*'Manpower Schedule'!I23/100000</f>
        <v>9.6000000000000002E-2</v>
      </c>
      <c r="K35" s="135">
        <f>800*'Manpower Schedule'!J23/100000</f>
        <v>9.6000000000000002E-2</v>
      </c>
      <c r="L35" s="135">
        <f>800*'Manpower Schedule'!K23/100000</f>
        <v>9.6000000000000002E-2</v>
      </c>
      <c r="M35" s="133"/>
      <c r="N35" s="306"/>
      <c r="O35" s="314"/>
      <c r="P35" s="312"/>
      <c r="Q35" s="312"/>
    </row>
    <row r="36" spans="1:17" ht="38.25" x14ac:dyDescent="0.2">
      <c r="A36" s="129" t="s">
        <v>164</v>
      </c>
      <c r="B36" s="310" t="s">
        <v>595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3"/>
      <c r="O36" s="314"/>
      <c r="P36" s="312"/>
      <c r="Q36" s="312"/>
    </row>
    <row r="37" spans="1:17" ht="27.75" customHeight="1" x14ac:dyDescent="0.2">
      <c r="A37" s="309" t="s">
        <v>165</v>
      </c>
      <c r="B37" s="310" t="s">
        <v>151</v>
      </c>
      <c r="C37" s="135">
        <f>500*'Output Schedule'!B17/100000</f>
        <v>1.75</v>
      </c>
      <c r="D37" s="135">
        <f>500*'Output Schedule'!C17/100000</f>
        <v>1.925</v>
      </c>
      <c r="E37" s="135">
        <f>500*'Output Schedule'!D17/100000</f>
        <v>2.1</v>
      </c>
      <c r="F37" s="135">
        <f>500*'Output Schedule'!E17/100000</f>
        <v>2.2749999999999999</v>
      </c>
      <c r="G37" s="135">
        <f>500*'Output Schedule'!F17/100000</f>
        <v>2.4500000000000002</v>
      </c>
      <c r="H37" s="135">
        <f>500*'Output Schedule'!G17/100000</f>
        <v>2.625</v>
      </c>
      <c r="I37" s="135">
        <f>500*'Output Schedule'!H17/100000</f>
        <v>2.8</v>
      </c>
      <c r="J37" s="135">
        <f>500*'Output Schedule'!I17/100000</f>
        <v>2.9750000000000001</v>
      </c>
      <c r="K37" s="135">
        <f>500*'Output Schedule'!J17/100000</f>
        <v>3.15</v>
      </c>
      <c r="L37" s="135">
        <f>500*'Output Schedule'!K17/100000</f>
        <v>3.3250000000000002</v>
      </c>
      <c r="M37" s="133"/>
      <c r="O37" s="314"/>
      <c r="P37" s="312"/>
      <c r="Q37" s="312"/>
    </row>
    <row r="38" spans="1:17" ht="14.25" x14ac:dyDescent="0.2">
      <c r="A38" s="129" t="s">
        <v>152</v>
      </c>
      <c r="B38" s="313" t="s">
        <v>108</v>
      </c>
      <c r="C38" s="135">
        <f>300*'Output Schedule'!B45/100000</f>
        <v>0.378</v>
      </c>
      <c r="D38" s="135">
        <f>300*'Output Schedule'!C45/100000</f>
        <v>0.41399999999999998</v>
      </c>
      <c r="E38" s="135">
        <f>300*'Output Schedule'!D45/100000</f>
        <v>0.45</v>
      </c>
      <c r="F38" s="135">
        <f>300*'Output Schedule'!E45/100000</f>
        <v>0.48599999999999999</v>
      </c>
      <c r="G38" s="135">
        <f>300*'Output Schedule'!F45/100000</f>
        <v>0.52800000000000002</v>
      </c>
      <c r="H38" s="135">
        <f>300*'Output Schedule'!G45/100000</f>
        <v>0.56399999999999995</v>
      </c>
      <c r="I38" s="135">
        <f>300*'Output Schedule'!H45/100000</f>
        <v>0.6</v>
      </c>
      <c r="J38" s="135">
        <f>300*'Output Schedule'!I45/100000</f>
        <v>0.63600000000000001</v>
      </c>
      <c r="K38" s="135">
        <f>300*'Output Schedule'!J45/100000</f>
        <v>0.67800000000000005</v>
      </c>
      <c r="L38" s="135">
        <f>300*'Output Schedule'!K45/100000</f>
        <v>0.71399999999999997</v>
      </c>
      <c r="M38" s="133"/>
      <c r="O38" s="314"/>
      <c r="P38" s="312"/>
      <c r="Q38" s="312"/>
    </row>
    <row r="39" spans="1:17" ht="14.25" x14ac:dyDescent="0.2">
      <c r="A39" s="129" t="s">
        <v>153</v>
      </c>
      <c r="B39" s="313" t="s">
        <v>151</v>
      </c>
      <c r="C39" s="135">
        <f>500*('Sales Schedule'!C4+'Sales Schedule'!C8+'Sales Schedule'!C12)/100000</f>
        <v>1.31</v>
      </c>
      <c r="D39" s="135">
        <f>500*('Sales Schedule'!D4+'Sales Schedule'!D8+'Sales Schedule'!D12)/100000</f>
        <v>1.4950000000000001</v>
      </c>
      <c r="E39" s="135">
        <f>500*('Sales Schedule'!E4+'Sales Schedule'!E8+'Sales Schedule'!E12)/100000</f>
        <v>1.63</v>
      </c>
      <c r="F39" s="135">
        <f>500*('Sales Schedule'!F4+'Sales Schedule'!F8+'Sales Schedule'!F12)/100000</f>
        <v>1.7749999999999999</v>
      </c>
      <c r="G39" s="135">
        <f>500*('Sales Schedule'!G4+'Sales Schedule'!G8+'Sales Schedule'!G12)/100000</f>
        <v>1.905</v>
      </c>
      <c r="H39" s="135">
        <f>500*('Sales Schedule'!H4+'Sales Schedule'!H8+'Sales Schedule'!H12)/100000</f>
        <v>2.04</v>
      </c>
      <c r="I39" s="135">
        <f>500*('Sales Schedule'!I4+'Sales Schedule'!I8+'Sales Schedule'!I12)/100000</f>
        <v>2.1800000000000002</v>
      </c>
      <c r="J39" s="135">
        <f>500*('Sales Schedule'!J4+'Sales Schedule'!J8+'Sales Schedule'!J12)/100000</f>
        <v>2.3199999999999998</v>
      </c>
      <c r="K39" s="135">
        <f>500*('Sales Schedule'!K4+'Sales Schedule'!K8+'Sales Schedule'!K12)/100000</f>
        <v>2.4500000000000002</v>
      </c>
      <c r="L39" s="135">
        <f>500*('Sales Schedule'!L4+'Sales Schedule'!L8+'Sales Schedule'!L12)/100000</f>
        <v>2.585</v>
      </c>
      <c r="M39" s="133"/>
      <c r="O39" s="312"/>
      <c r="P39" s="312"/>
      <c r="Q39" s="312"/>
    </row>
    <row r="40" spans="1:17" ht="14.25" x14ac:dyDescent="0.2">
      <c r="A40" s="129" t="s">
        <v>154</v>
      </c>
      <c r="B40" s="313" t="s">
        <v>628</v>
      </c>
      <c r="C40" s="135">
        <f>500*'Output Schedule'!B45/100000</f>
        <v>0.63</v>
      </c>
      <c r="D40" s="135">
        <f>500*'Output Schedule'!C45/100000</f>
        <v>0.69</v>
      </c>
      <c r="E40" s="135">
        <f>500*'Output Schedule'!D45/100000</f>
        <v>0.75</v>
      </c>
      <c r="F40" s="135">
        <f>500*'Output Schedule'!E45/100000</f>
        <v>0.81</v>
      </c>
      <c r="G40" s="135">
        <f>500*'Output Schedule'!F45/100000</f>
        <v>0.88</v>
      </c>
      <c r="H40" s="135">
        <f>500*'Output Schedule'!G45/100000</f>
        <v>0.94</v>
      </c>
      <c r="I40" s="135">
        <f>500*'Output Schedule'!H45/100000</f>
        <v>1</v>
      </c>
      <c r="J40" s="135">
        <f>500*'Output Schedule'!I45/100000</f>
        <v>1.06</v>
      </c>
      <c r="K40" s="135">
        <f>500*'Output Schedule'!J45/100000</f>
        <v>1.1299999999999999</v>
      </c>
      <c r="L40" s="135">
        <f>500*'Output Schedule'!K45/100000</f>
        <v>1.19</v>
      </c>
      <c r="M40" s="133"/>
      <c r="O40" s="312"/>
      <c r="P40" s="312"/>
      <c r="Q40" s="312"/>
    </row>
    <row r="41" spans="1:17" ht="14.25" x14ac:dyDescent="0.2">
      <c r="A41" s="129"/>
      <c r="B41" s="129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3"/>
      <c r="O41" s="312"/>
      <c r="P41" s="312"/>
      <c r="Q41" s="312"/>
    </row>
    <row r="42" spans="1:17" x14ac:dyDescent="0.2">
      <c r="A42" s="205" t="s">
        <v>155</v>
      </c>
      <c r="B42" s="205"/>
      <c r="C42" s="308">
        <f>SUM(C30:C41)</f>
        <v>13.088600000000001</v>
      </c>
      <c r="D42" s="308">
        <f t="shared" ref="D42:L42" si="23">SUM(D30:D41)</f>
        <v>14.827800000000002</v>
      </c>
      <c r="E42" s="308">
        <f t="shared" si="23"/>
        <v>16.588999999999999</v>
      </c>
      <c r="F42" s="308">
        <f t="shared" si="23"/>
        <v>18.432199999999998</v>
      </c>
      <c r="G42" s="308">
        <f t="shared" si="23"/>
        <v>20.492599999999999</v>
      </c>
      <c r="H42" s="308">
        <f t="shared" si="23"/>
        <v>22.4758</v>
      </c>
      <c r="I42" s="308">
        <f t="shared" si="23"/>
        <v>24.536000000000001</v>
      </c>
      <c r="J42" s="308">
        <f t="shared" si="23"/>
        <v>26.0242</v>
      </c>
      <c r="K42" s="308">
        <f t="shared" si="23"/>
        <v>27.674599999999995</v>
      </c>
      <c r="L42" s="308">
        <f t="shared" si="23"/>
        <v>29.157800000000002</v>
      </c>
      <c r="O42" s="312"/>
      <c r="P42" s="312"/>
      <c r="Q42" s="312"/>
    </row>
    <row r="43" spans="1:17" x14ac:dyDescent="0.2">
      <c r="O43" s="312"/>
      <c r="P43" s="312"/>
      <c r="Q43" s="312"/>
    </row>
    <row r="44" spans="1:17" x14ac:dyDescent="0.2">
      <c r="O44" s="312"/>
      <c r="P44" s="312"/>
      <c r="Q44" s="312"/>
    </row>
    <row r="45" spans="1:17" x14ac:dyDescent="0.2">
      <c r="O45" s="312"/>
      <c r="P45" s="312"/>
      <c r="Q45" s="312"/>
    </row>
    <row r="46" spans="1:17" x14ac:dyDescent="0.2">
      <c r="M46" s="315"/>
      <c r="O46" s="312"/>
      <c r="P46" s="312"/>
      <c r="Q46" s="312"/>
    </row>
    <row r="47" spans="1:17" x14ac:dyDescent="0.2">
      <c r="O47" s="312"/>
      <c r="P47" s="312"/>
      <c r="Q47" s="312"/>
    </row>
    <row r="48" spans="1:17" x14ac:dyDescent="0.2">
      <c r="O48" s="312"/>
      <c r="P48" s="312"/>
      <c r="Q48" s="312"/>
    </row>
    <row r="49" spans="15:17" x14ac:dyDescent="0.2">
      <c r="O49" s="312"/>
      <c r="P49" s="312"/>
      <c r="Q49" s="312"/>
    </row>
    <row r="50" spans="15:17" x14ac:dyDescent="0.2">
      <c r="O50" s="312"/>
      <c r="P50" s="312"/>
      <c r="Q50" s="312"/>
    </row>
    <row r="51" spans="15:17" x14ac:dyDescent="0.2">
      <c r="O51" s="312"/>
      <c r="P51" s="312"/>
      <c r="Q51" s="312"/>
    </row>
    <row r="52" spans="15:17" x14ac:dyDescent="0.2">
      <c r="O52" s="312"/>
      <c r="P52" s="312"/>
      <c r="Q52" s="312"/>
    </row>
    <row r="53" spans="15:17" x14ac:dyDescent="0.2">
      <c r="O53" s="312"/>
      <c r="P53" s="312"/>
      <c r="Q53" s="312"/>
    </row>
    <row r="54" spans="15:17" x14ac:dyDescent="0.2">
      <c r="O54" s="312"/>
      <c r="P54" s="312"/>
      <c r="Q54" s="312"/>
    </row>
    <row r="55" spans="15:17" x14ac:dyDescent="0.2">
      <c r="O55" s="312"/>
      <c r="P55" s="312"/>
      <c r="Q55" s="312"/>
    </row>
    <row r="56" spans="15:17" x14ac:dyDescent="0.2">
      <c r="O56" s="312"/>
      <c r="P56" s="312"/>
      <c r="Q56" s="312"/>
    </row>
    <row r="57" spans="15:17" x14ac:dyDescent="0.2">
      <c r="O57" s="312"/>
      <c r="P57" s="312"/>
      <c r="Q57" s="312"/>
    </row>
    <row r="58" spans="15:17" x14ac:dyDescent="0.2">
      <c r="O58" s="312"/>
      <c r="P58" s="312"/>
      <c r="Q58" s="312"/>
    </row>
    <row r="59" spans="15:17" s="315" customFormat="1" x14ac:dyDescent="0.2">
      <c r="O59" s="312"/>
      <c r="P59" s="312"/>
      <c r="Q59" s="312"/>
    </row>
    <row r="60" spans="15:17" x14ac:dyDescent="0.2">
      <c r="O60" s="312"/>
      <c r="P60" s="312"/>
      <c r="Q60" s="312"/>
    </row>
  </sheetData>
  <mergeCells count="4">
    <mergeCell ref="N2:Q2"/>
    <mergeCell ref="N6:Q6"/>
    <mergeCell ref="A4:L4"/>
    <mergeCell ref="A29:L29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80" t="s">
        <v>426</v>
      </c>
      <c r="B1" s="380"/>
      <c r="C1" s="380"/>
      <c r="D1" s="380"/>
      <c r="E1" s="380"/>
      <c r="F1" s="380"/>
      <c r="G1" s="380"/>
      <c r="H1" s="380"/>
    </row>
    <row r="2" spans="1:8" x14ac:dyDescent="0.25">
      <c r="A2" s="11" t="s">
        <v>1</v>
      </c>
      <c r="B2" s="11" t="s">
        <v>36</v>
      </c>
      <c r="C2" s="11" t="s">
        <v>37</v>
      </c>
      <c r="D2" s="11" t="s">
        <v>38</v>
      </c>
      <c r="E2" s="11" t="s">
        <v>39</v>
      </c>
      <c r="F2" s="11" t="s">
        <v>40</v>
      </c>
      <c r="G2" s="11" t="s">
        <v>41</v>
      </c>
      <c r="H2" s="11" t="s">
        <v>42</v>
      </c>
    </row>
    <row r="3" spans="1:8" x14ac:dyDescent="0.25">
      <c r="A3" s="20"/>
      <c r="B3" s="20"/>
      <c r="C3" s="20"/>
      <c r="D3" s="20"/>
      <c r="E3" s="20"/>
      <c r="F3" s="20"/>
      <c r="G3" s="13"/>
      <c r="H3" s="13"/>
    </row>
    <row r="4" spans="1:8" x14ac:dyDescent="0.25">
      <c r="A4" s="20" t="s">
        <v>141</v>
      </c>
      <c r="B4" s="34">
        <f>'P&amp;L'!B25</f>
        <v>13.088600000000001</v>
      </c>
      <c r="C4" s="34">
        <f>'P&amp;L'!C25</f>
        <v>14.827800000000002</v>
      </c>
      <c r="D4" s="34">
        <f>'P&amp;L'!D25</f>
        <v>16.588999999999999</v>
      </c>
      <c r="E4" s="34">
        <f>'P&amp;L'!E25</f>
        <v>18.432199999999998</v>
      </c>
      <c r="F4" s="34">
        <f>'P&amp;L'!F25</f>
        <v>20.492599999999999</v>
      </c>
      <c r="G4" s="34">
        <f>'P&amp;L'!G25</f>
        <v>22.4758</v>
      </c>
      <c r="H4" s="34">
        <f>'P&amp;L'!H25</f>
        <v>24.536000000000001</v>
      </c>
    </row>
    <row r="5" spans="1:8" x14ac:dyDescent="0.25">
      <c r="A5" s="20" t="s">
        <v>111</v>
      </c>
      <c r="B5" s="35">
        <f>'P&amp;L'!B23</f>
        <v>19.698599999999999</v>
      </c>
      <c r="C5" s="35">
        <f>'P&amp;L'!C23</f>
        <v>20.682030000000001</v>
      </c>
      <c r="D5" s="35">
        <f>'P&amp;L'!D23</f>
        <v>21.714631500000003</v>
      </c>
      <c r="E5" s="35">
        <f>'P&amp;L'!E23</f>
        <v>22.798863075000007</v>
      </c>
      <c r="F5" s="35">
        <f>'P&amp;L'!F23</f>
        <v>23.937306228750007</v>
      </c>
      <c r="G5" s="35">
        <f>'P&amp;L'!G23</f>
        <v>25.132671540187509</v>
      </c>
      <c r="H5" s="35">
        <f>'P&amp;L'!H23</f>
        <v>26.387805117196883</v>
      </c>
    </row>
    <row r="6" spans="1:8" hidden="1" x14ac:dyDescent="0.25">
      <c r="A6" s="20" t="s">
        <v>428</v>
      </c>
      <c r="B6" s="35">
        <f>'Purchase Schedule'!B9</f>
        <v>105.23</v>
      </c>
      <c r="C6" s="35">
        <f>'Purchase Schedule'!C9</f>
        <v>117.096</v>
      </c>
      <c r="D6" s="35">
        <f>'Purchase Schedule'!D9</f>
        <v>134.31059999999999</v>
      </c>
      <c r="E6" s="35">
        <f>'Purchase Schedule'!E9</f>
        <v>152.24850000000001</v>
      </c>
      <c r="F6" s="35">
        <f>'Purchase Schedule'!F9</f>
        <v>172.41659999999999</v>
      </c>
      <c r="G6" s="35">
        <f>'Purchase Schedule'!G9</f>
        <v>193.9102</v>
      </c>
      <c r="H6" s="35">
        <f>'Purchase Schedule'!H9</f>
        <v>217.18700000000001</v>
      </c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20" t="s">
        <v>427</v>
      </c>
      <c r="B8" s="23">
        <f>(B4+B5)/12</f>
        <v>2.7322666666666664</v>
      </c>
      <c r="C8" s="23">
        <f t="shared" ref="C8:H8" si="0">(C4+C5)/12</f>
        <v>2.9591525000000001</v>
      </c>
      <c r="D8" s="23">
        <f t="shared" si="0"/>
        <v>3.1919692916666667</v>
      </c>
      <c r="E8" s="23">
        <f t="shared" si="0"/>
        <v>3.4359219229166675</v>
      </c>
      <c r="F8" s="23">
        <f t="shared" si="0"/>
        <v>3.7024921857291671</v>
      </c>
      <c r="G8" s="23">
        <f t="shared" si="0"/>
        <v>3.9673726283489592</v>
      </c>
      <c r="H8" s="23">
        <f t="shared" si="0"/>
        <v>4.2436504264330734</v>
      </c>
    </row>
    <row r="9" spans="1:8" x14ac:dyDescent="0.25">
      <c r="A9" s="20" t="s">
        <v>457</v>
      </c>
      <c r="B9" s="23">
        <f>'CS-RM'!B31+'CS-FG'!C123</f>
        <v>8.31</v>
      </c>
      <c r="C9" s="23">
        <f>'CS-RM'!C31+'CS-FG'!D123</f>
        <v>10.111499999999999</v>
      </c>
      <c r="D9" s="23">
        <f>'CS-RM'!D31+'CS-FG'!E123</f>
        <v>11.6326</v>
      </c>
      <c r="E9" s="23">
        <f>'CS-RM'!E31+'CS-FG'!F123</f>
        <v>12.434799999999999</v>
      </c>
      <c r="F9" s="23">
        <f>'CS-RM'!F31+'CS-FG'!G123</f>
        <v>14.441700000000001</v>
      </c>
      <c r="G9" s="23">
        <f>'CS-RM'!G31+'CS-FG'!H123</f>
        <v>16.173000000000002</v>
      </c>
      <c r="H9" s="23">
        <f>'CS-RM'!H31+'CS-FG'!I123</f>
        <v>18.066700000000001</v>
      </c>
    </row>
    <row r="10" spans="1:8" x14ac:dyDescent="0.25">
      <c r="A10" s="20" t="s">
        <v>429</v>
      </c>
      <c r="B10" s="35">
        <f>'Production Level Support'!B3</f>
        <v>0</v>
      </c>
      <c r="C10" s="35">
        <f>'Production Level Support'!C3</f>
        <v>0</v>
      </c>
      <c r="D10" s="35">
        <f>'Production Level Support'!D3</f>
        <v>0</v>
      </c>
      <c r="E10" s="35">
        <f>'Production Level Support'!E3</f>
        <v>0</v>
      </c>
      <c r="F10" s="35">
        <f>'Production Level Support'!F3</f>
        <v>0</v>
      </c>
      <c r="G10" s="35">
        <f>'Production Level Support'!G3</f>
        <v>0</v>
      </c>
      <c r="H10" s="35">
        <f>'Production Level Support'!H3</f>
        <v>0</v>
      </c>
    </row>
    <row r="11" spans="1:8" x14ac:dyDescent="0.25">
      <c r="A11" s="20" t="s">
        <v>455</v>
      </c>
      <c r="B11" s="35">
        <f>BS!C45</f>
        <v>0</v>
      </c>
      <c r="C11" s="35">
        <f>BS!D45</f>
        <v>0</v>
      </c>
      <c r="D11" s="35">
        <f>BS!E45</f>
        <v>0</v>
      </c>
      <c r="E11" s="35">
        <f>BS!F45</f>
        <v>0</v>
      </c>
      <c r="F11" s="35">
        <f>BS!G45</f>
        <v>0</v>
      </c>
      <c r="G11" s="35">
        <f>BS!H45</f>
        <v>0</v>
      </c>
      <c r="H11" s="35">
        <f>BS!I45</f>
        <v>0</v>
      </c>
    </row>
    <row r="12" spans="1:8" x14ac:dyDescent="0.25">
      <c r="A12" s="20" t="s">
        <v>29</v>
      </c>
      <c r="B12" s="57">
        <f>SUM(B8:B11)</f>
        <v>11.042266666666666</v>
      </c>
      <c r="C12" s="57">
        <f t="shared" ref="C12:H12" si="1">SUM(C8:C11)</f>
        <v>13.0706525</v>
      </c>
      <c r="D12" s="57">
        <f t="shared" si="1"/>
        <v>14.824569291666666</v>
      </c>
      <c r="E12" s="57">
        <f t="shared" si="1"/>
        <v>15.870721922916667</v>
      </c>
      <c r="F12" s="57">
        <f t="shared" si="1"/>
        <v>18.144192185729167</v>
      </c>
      <c r="G12" s="57">
        <f t="shared" si="1"/>
        <v>20.14037262834896</v>
      </c>
      <c r="H12" s="57">
        <f t="shared" si="1"/>
        <v>22.310350426433075</v>
      </c>
    </row>
    <row r="13" spans="1:8" x14ac:dyDescent="0.25">
      <c r="A13" s="20"/>
      <c r="B13" s="35"/>
      <c r="C13" s="35"/>
      <c r="D13" s="35"/>
      <c r="E13" s="35"/>
      <c r="F13" s="35"/>
      <c r="G13" s="35"/>
      <c r="H13" s="35"/>
    </row>
    <row r="14" spans="1:8" x14ac:dyDescent="0.25">
      <c r="A14" s="20" t="s">
        <v>166</v>
      </c>
      <c r="B14" s="21">
        <f>B12*0.25</f>
        <v>2.7605666666666666</v>
      </c>
      <c r="C14" s="21">
        <f t="shared" ref="C14:H14" si="2">C12*0.25</f>
        <v>3.2676631249999999</v>
      </c>
      <c r="D14" s="21">
        <f t="shared" si="2"/>
        <v>3.7061423229166666</v>
      </c>
      <c r="E14" s="21">
        <f t="shared" si="2"/>
        <v>3.9676804807291668</v>
      </c>
      <c r="F14" s="21">
        <f t="shared" si="2"/>
        <v>4.5360480464322919</v>
      </c>
      <c r="G14" s="21">
        <f t="shared" si="2"/>
        <v>5.0350931570872399</v>
      </c>
      <c r="H14" s="21">
        <f t="shared" si="2"/>
        <v>5.5775876066082688</v>
      </c>
    </row>
    <row r="15" spans="1:8" x14ac:dyDescent="0.25">
      <c r="A15" s="20"/>
      <c r="B15" s="20"/>
      <c r="C15" s="20"/>
      <c r="D15" s="20"/>
      <c r="E15" s="20"/>
      <c r="F15" s="20"/>
      <c r="G15" s="13"/>
      <c r="H15" s="13"/>
    </row>
    <row r="16" spans="1:8" x14ac:dyDescent="0.25">
      <c r="A16" s="20" t="s">
        <v>167</v>
      </c>
      <c r="B16" s="23">
        <f>B12-B14</f>
        <v>8.2817000000000007</v>
      </c>
      <c r="C16" s="23">
        <f t="shared" ref="C16:H16" si="3">C12-C14</f>
        <v>9.8029893749999992</v>
      </c>
      <c r="D16" s="23">
        <f t="shared" si="3"/>
        <v>11.118426968750001</v>
      </c>
      <c r="E16" s="23">
        <f t="shared" si="3"/>
        <v>11.903041442187501</v>
      </c>
      <c r="F16" s="23">
        <f t="shared" si="3"/>
        <v>13.608144139296876</v>
      </c>
      <c r="G16" s="23">
        <f t="shared" si="3"/>
        <v>15.105279471261721</v>
      </c>
      <c r="H16" s="23">
        <f t="shared" si="3"/>
        <v>16.732762819824806</v>
      </c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="60" zoomScaleNormal="100" workbookViewId="0">
      <selection activeCell="C5" sqref="A1:XFD1048576"/>
    </sheetView>
  </sheetViews>
  <sheetFormatPr defaultRowHeight="14.25" x14ac:dyDescent="0.2"/>
  <cols>
    <col min="1" max="1" width="22" style="133" bestFit="1" customWidth="1"/>
    <col min="2" max="2" width="14.140625" style="133" customWidth="1"/>
    <col min="3" max="16384" width="9.140625" style="133"/>
  </cols>
  <sheetData>
    <row r="1" spans="1:12" s="139" customFormat="1" ht="15" x14ac:dyDescent="0.25">
      <c r="A1" s="303" t="s">
        <v>1</v>
      </c>
      <c r="B1" s="206"/>
      <c r="C1" s="206" t="s">
        <v>36</v>
      </c>
      <c r="D1" s="206" t="s">
        <v>37</v>
      </c>
      <c r="E1" s="206" t="s">
        <v>38</v>
      </c>
      <c r="F1" s="206" t="s">
        <v>39</v>
      </c>
      <c r="G1" s="206" t="s">
        <v>40</v>
      </c>
      <c r="H1" s="141" t="s">
        <v>41</v>
      </c>
      <c r="I1" s="141" t="s">
        <v>42</v>
      </c>
      <c r="J1" s="141" t="s">
        <v>494</v>
      </c>
      <c r="K1" s="141" t="s">
        <v>495</v>
      </c>
      <c r="L1" s="141" t="s">
        <v>496</v>
      </c>
    </row>
    <row r="2" spans="1:12" x14ac:dyDescent="0.2">
      <c r="A2" s="120"/>
      <c r="B2" s="115"/>
      <c r="C2" s="115"/>
      <c r="D2" s="115"/>
      <c r="E2" s="115"/>
      <c r="F2" s="115"/>
      <c r="G2" s="115"/>
      <c r="H2" s="116"/>
      <c r="I2" s="116"/>
      <c r="J2" s="116"/>
      <c r="K2" s="116"/>
      <c r="L2" s="116"/>
    </row>
    <row r="3" spans="1:12" x14ac:dyDescent="0.2">
      <c r="A3" s="120" t="s">
        <v>589</v>
      </c>
      <c r="B3" s="202">
        <v>5</v>
      </c>
      <c r="C3" s="202"/>
      <c r="D3" s="202"/>
      <c r="E3" s="202"/>
      <c r="F3" s="202"/>
      <c r="G3" s="202"/>
      <c r="H3" s="199"/>
      <c r="I3" s="199"/>
      <c r="J3" s="199"/>
      <c r="K3" s="199"/>
      <c r="L3" s="199"/>
    </row>
    <row r="4" spans="1:12" x14ac:dyDescent="0.2">
      <c r="A4" s="120" t="s">
        <v>590</v>
      </c>
      <c r="B4" s="202">
        <v>0.1</v>
      </c>
      <c r="C4" s="202"/>
      <c r="D4" s="202"/>
      <c r="E4" s="202"/>
      <c r="F4" s="202"/>
      <c r="G4" s="202"/>
      <c r="H4" s="199"/>
      <c r="I4" s="199"/>
      <c r="J4" s="199"/>
      <c r="K4" s="199"/>
      <c r="L4" s="199"/>
    </row>
    <row r="5" spans="1:12" x14ac:dyDescent="0.2">
      <c r="A5" s="120" t="s">
        <v>588</v>
      </c>
      <c r="B5" s="202"/>
      <c r="C5" s="202">
        <f>'P&amp;L'!B27</f>
        <v>0.97820000000000018</v>
      </c>
      <c r="D5" s="202">
        <f>'P&amp;L'!C27</f>
        <v>0.97820000000000018</v>
      </c>
      <c r="E5" s="202">
        <f>'P&amp;L'!D27</f>
        <v>0.97820000000000018</v>
      </c>
      <c r="F5" s="202">
        <f>'P&amp;L'!E27</f>
        <v>0.97820000000000018</v>
      </c>
      <c r="G5" s="202">
        <f>'P&amp;L'!F27</f>
        <v>0.97820000000000018</v>
      </c>
      <c r="H5" s="199">
        <f>'P&amp;L'!G27</f>
        <v>0.97820000000000018</v>
      </c>
      <c r="I5" s="199">
        <f>'P&amp;L'!H27</f>
        <v>0.97820000000000018</v>
      </c>
      <c r="J5" s="199">
        <f>'P&amp;L'!I27</f>
        <v>0.97820000000000018</v>
      </c>
      <c r="K5" s="199">
        <f>'P&amp;L'!J27</f>
        <v>0.97820000000000018</v>
      </c>
      <c r="L5" s="199">
        <f>'P&amp;L'!K27</f>
        <v>0.97820000000000018</v>
      </c>
    </row>
    <row r="9" spans="1:12" x14ac:dyDescent="0.2">
      <c r="B9" s="256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topLeftCell="A2" zoomScale="60" zoomScaleNormal="100" workbookViewId="0">
      <selection activeCell="C5" sqref="A1:XFD1048576"/>
    </sheetView>
  </sheetViews>
  <sheetFormatPr defaultRowHeight="14.25" x14ac:dyDescent="0.2"/>
  <cols>
    <col min="1" max="1" width="9.140625" style="133"/>
    <col min="2" max="2" width="24.140625" style="133" bestFit="1" customWidth="1"/>
    <col min="3" max="7" width="12" style="133" bestFit="1" customWidth="1"/>
    <col min="8" max="9" width="7.85546875" style="133" bestFit="1" customWidth="1"/>
    <col min="10" max="16384" width="9.140625" style="133"/>
  </cols>
  <sheetData>
    <row r="2" spans="1:12" ht="15" x14ac:dyDescent="0.25">
      <c r="A2" s="114" t="s">
        <v>642</v>
      </c>
      <c r="B2" s="114" t="s">
        <v>1</v>
      </c>
      <c r="C2" s="114" t="s">
        <v>36</v>
      </c>
      <c r="D2" s="114" t="s">
        <v>37</v>
      </c>
      <c r="E2" s="114" t="s">
        <v>38</v>
      </c>
      <c r="F2" s="114" t="s">
        <v>39</v>
      </c>
      <c r="G2" s="114" t="s">
        <v>40</v>
      </c>
      <c r="H2" s="114" t="s">
        <v>41</v>
      </c>
      <c r="I2" s="114" t="s">
        <v>42</v>
      </c>
      <c r="J2" s="114" t="s">
        <v>494</v>
      </c>
      <c r="K2" s="114" t="s">
        <v>495</v>
      </c>
      <c r="L2" s="114" t="s">
        <v>496</v>
      </c>
    </row>
    <row r="3" spans="1:12" x14ac:dyDescent="0.2">
      <c r="A3" s="115"/>
      <c r="B3" s="115"/>
      <c r="C3" s="115"/>
      <c r="D3" s="115"/>
      <c r="E3" s="115"/>
      <c r="F3" s="115"/>
      <c r="G3" s="115"/>
      <c r="H3" s="116"/>
      <c r="I3" s="116"/>
      <c r="J3" s="116"/>
      <c r="K3" s="116"/>
      <c r="L3" s="116"/>
    </row>
    <row r="4" spans="1:12" x14ac:dyDescent="0.2">
      <c r="A4" s="117">
        <v>1</v>
      </c>
      <c r="B4" s="115" t="s">
        <v>391</v>
      </c>
      <c r="C4" s="118">
        <f>BS!C36</f>
        <v>12.719166666666666</v>
      </c>
      <c r="D4" s="118">
        <f>BS!D36</f>
        <v>15.057549999999999</v>
      </c>
      <c r="E4" s="118">
        <f>BS!E36</f>
        <v>17.332383333333333</v>
      </c>
      <c r="F4" s="118">
        <f>BS!F36</f>
        <v>19.812041666666669</v>
      </c>
      <c r="G4" s="118">
        <f>BS!G36</f>
        <v>22.366699999999998</v>
      </c>
      <c r="H4" s="118">
        <f>BS!H36</f>
        <v>25.291991666666672</v>
      </c>
      <c r="I4" s="118">
        <f>BS!I36</f>
        <v>28.37370000000001</v>
      </c>
      <c r="J4" s="118">
        <f>BS!J36</f>
        <v>31.757433333333339</v>
      </c>
      <c r="K4" s="118">
        <f>BS!K36</f>
        <v>35.365050000000004</v>
      </c>
      <c r="L4" s="118">
        <f>BS!L36</f>
        <v>39.314008333333334</v>
      </c>
    </row>
    <row r="5" spans="1:12" x14ac:dyDescent="0.2">
      <c r="A5" s="117">
        <v>2</v>
      </c>
      <c r="B5" s="115" t="s">
        <v>392</v>
      </c>
      <c r="C5" s="118">
        <f>BS!C40+BS!C41</f>
        <v>8.31</v>
      </c>
      <c r="D5" s="118">
        <f>BS!D40+BS!D41</f>
        <v>10.111499999999999</v>
      </c>
      <c r="E5" s="118">
        <f>BS!E40+BS!E41</f>
        <v>11.6326</v>
      </c>
      <c r="F5" s="118">
        <f>BS!F40+BS!F41</f>
        <v>12.434799999999999</v>
      </c>
      <c r="G5" s="118">
        <f>BS!G40+BS!G41</f>
        <v>14.441700000000001</v>
      </c>
      <c r="H5" s="118">
        <f>BS!H40+BS!H41</f>
        <v>16.173000000000002</v>
      </c>
      <c r="I5" s="118">
        <f>BS!I40+BS!I41</f>
        <v>18.066700000000001</v>
      </c>
      <c r="J5" s="118">
        <f>BS!J40+BS!J41</f>
        <v>20.713299999999997</v>
      </c>
      <c r="K5" s="118">
        <f>BS!K40+BS!K41</f>
        <v>22.429799999999997</v>
      </c>
      <c r="L5" s="118">
        <f>BS!L40+BS!L41</f>
        <v>24.946300000000001</v>
      </c>
    </row>
    <row r="6" spans="1:12" x14ac:dyDescent="0.2">
      <c r="A6" s="117">
        <v>3</v>
      </c>
      <c r="B6" s="115" t="s">
        <v>393</v>
      </c>
      <c r="C6" s="119">
        <f>BS!C22</f>
        <v>11.501433333333333</v>
      </c>
      <c r="D6" s="119">
        <f>BS!D22</f>
        <v>12.717152499999999</v>
      </c>
      <c r="E6" s="119">
        <f>BS!E22</f>
        <v>14.384519291666665</v>
      </c>
      <c r="F6" s="119">
        <f>BS!F22</f>
        <v>16.123296922916669</v>
      </c>
      <c r="G6" s="119">
        <f>BS!G22</f>
        <v>18.070542185729167</v>
      </c>
      <c r="H6" s="119">
        <f>BS!H22</f>
        <v>20.126555961682293</v>
      </c>
      <c r="I6" s="119">
        <f>BS!I22</f>
        <v>22.342567093099742</v>
      </c>
      <c r="J6" s="119">
        <f>BS!J22</f>
        <v>24.686241281088062</v>
      </c>
      <c r="K6" s="119">
        <f>BS!K22</f>
        <v>27.143490011809135</v>
      </c>
      <c r="L6" s="119">
        <f>BS!L22</f>
        <v>29.867104512399589</v>
      </c>
    </row>
    <row r="7" spans="1:12" x14ac:dyDescent="0.2">
      <c r="A7" s="119"/>
      <c r="B7" s="115"/>
      <c r="C7" s="119"/>
      <c r="D7" s="119"/>
      <c r="E7" s="119"/>
      <c r="F7" s="119"/>
      <c r="G7" s="119"/>
      <c r="H7" s="119"/>
      <c r="I7" s="119"/>
      <c r="J7" s="116"/>
      <c r="K7" s="116"/>
      <c r="L7" s="116"/>
    </row>
    <row r="8" spans="1:12" hidden="1" x14ac:dyDescent="0.2">
      <c r="A8" s="120"/>
      <c r="B8" s="115" t="s">
        <v>424</v>
      </c>
      <c r="C8" s="121">
        <f t="shared" ref="C8:L8" si="0">C4+C5-C6</f>
        <v>9.5277333333333356</v>
      </c>
      <c r="D8" s="121">
        <f t="shared" si="0"/>
        <v>12.451897499999999</v>
      </c>
      <c r="E8" s="121">
        <f t="shared" si="0"/>
        <v>14.580464041666668</v>
      </c>
      <c r="F8" s="121">
        <f t="shared" si="0"/>
        <v>16.123544743749999</v>
      </c>
      <c r="G8" s="121">
        <f t="shared" si="0"/>
        <v>18.737857814270832</v>
      </c>
      <c r="H8" s="121">
        <f t="shared" si="0"/>
        <v>21.338435704984384</v>
      </c>
      <c r="I8" s="121">
        <f t="shared" si="0"/>
        <v>24.097832906900269</v>
      </c>
      <c r="J8" s="121">
        <f t="shared" si="0"/>
        <v>27.784492052245273</v>
      </c>
      <c r="K8" s="121">
        <f t="shared" si="0"/>
        <v>30.651359988190862</v>
      </c>
      <c r="L8" s="121">
        <f t="shared" si="0"/>
        <v>34.393203820933749</v>
      </c>
    </row>
    <row r="9" spans="1:12" hidden="1" x14ac:dyDescent="0.2">
      <c r="A9" s="120"/>
      <c r="B9" s="126"/>
      <c r="C9" s="119"/>
      <c r="D9" s="119"/>
      <c r="E9" s="119"/>
      <c r="F9" s="119"/>
      <c r="G9" s="119"/>
      <c r="H9" s="119"/>
      <c r="I9" s="119"/>
      <c r="J9" s="116"/>
      <c r="K9" s="116"/>
      <c r="L9" s="116"/>
    </row>
    <row r="10" spans="1:12" hidden="1" x14ac:dyDescent="0.2">
      <c r="A10" s="120"/>
      <c r="B10" s="115"/>
      <c r="C10" s="119"/>
      <c r="D10" s="119"/>
      <c r="E10" s="119"/>
      <c r="F10" s="119"/>
      <c r="G10" s="119"/>
      <c r="H10" s="119"/>
      <c r="I10" s="119"/>
      <c r="J10" s="116"/>
      <c r="K10" s="116"/>
      <c r="L10" s="116"/>
    </row>
    <row r="11" spans="1:12" ht="28.5" x14ac:dyDescent="0.2">
      <c r="A11" s="122"/>
      <c r="B11" s="123" t="s">
        <v>425</v>
      </c>
      <c r="C11" s="124">
        <f>C4+C5-C6</f>
        <v>9.5277333333333356</v>
      </c>
      <c r="D11" s="124">
        <f t="shared" ref="D11:L11" si="1">D4+D5-D6</f>
        <v>12.451897499999999</v>
      </c>
      <c r="E11" s="124">
        <f t="shared" si="1"/>
        <v>14.580464041666668</v>
      </c>
      <c r="F11" s="124">
        <f t="shared" si="1"/>
        <v>16.123544743749999</v>
      </c>
      <c r="G11" s="124">
        <f t="shared" si="1"/>
        <v>18.737857814270832</v>
      </c>
      <c r="H11" s="124">
        <f t="shared" si="1"/>
        <v>21.338435704984384</v>
      </c>
      <c r="I11" s="124">
        <f t="shared" si="1"/>
        <v>24.097832906900269</v>
      </c>
      <c r="J11" s="124">
        <f t="shared" si="1"/>
        <v>27.784492052245273</v>
      </c>
      <c r="K11" s="124">
        <f t="shared" si="1"/>
        <v>30.651359988190862</v>
      </c>
      <c r="L11" s="124">
        <f t="shared" si="1"/>
        <v>34.393203820933749</v>
      </c>
    </row>
    <row r="12" spans="1:12" x14ac:dyDescent="0.2">
      <c r="A12" s="120"/>
      <c r="B12" s="115"/>
      <c r="C12" s="115"/>
      <c r="D12" s="115"/>
      <c r="E12" s="115"/>
      <c r="F12" s="115"/>
      <c r="G12" s="115"/>
      <c r="H12" s="116"/>
      <c r="I12" s="116"/>
      <c r="J12" s="116"/>
      <c r="K12" s="116"/>
      <c r="L12" s="116"/>
    </row>
    <row r="13" spans="1:12" x14ac:dyDescent="0.2">
      <c r="A13" s="120"/>
      <c r="B13" s="115" t="s">
        <v>166</v>
      </c>
      <c r="C13" s="121">
        <f>C11*0.25</f>
        <v>2.3819333333333339</v>
      </c>
      <c r="D13" s="121">
        <f t="shared" ref="D13:L13" si="2">D11*0.25</f>
        <v>3.1129743749999998</v>
      </c>
      <c r="E13" s="121">
        <f t="shared" si="2"/>
        <v>3.6451160104166669</v>
      </c>
      <c r="F13" s="121">
        <f t="shared" si="2"/>
        <v>4.0308861859374998</v>
      </c>
      <c r="G13" s="121">
        <f t="shared" si="2"/>
        <v>4.684464453567708</v>
      </c>
      <c r="H13" s="121">
        <f t="shared" si="2"/>
        <v>5.3346089262460961</v>
      </c>
      <c r="I13" s="121">
        <f t="shared" si="2"/>
        <v>6.0244582267250673</v>
      </c>
      <c r="J13" s="121">
        <f t="shared" si="2"/>
        <v>6.9461230130613183</v>
      </c>
      <c r="K13" s="121">
        <f t="shared" si="2"/>
        <v>7.6628399970477155</v>
      </c>
      <c r="L13" s="121">
        <f t="shared" si="2"/>
        <v>8.5983009552334373</v>
      </c>
    </row>
    <row r="14" spans="1:12" x14ac:dyDescent="0.2">
      <c r="A14" s="120"/>
      <c r="B14" s="115"/>
      <c r="C14" s="115"/>
      <c r="D14" s="115"/>
      <c r="E14" s="115"/>
      <c r="F14" s="115"/>
      <c r="G14" s="115"/>
      <c r="H14" s="116"/>
      <c r="I14" s="116"/>
      <c r="J14" s="116"/>
      <c r="K14" s="116"/>
      <c r="L14" s="116"/>
    </row>
    <row r="15" spans="1:12" ht="28.5" x14ac:dyDescent="0.2">
      <c r="A15" s="120"/>
      <c r="B15" s="125" t="s">
        <v>594</v>
      </c>
      <c r="C15" s="121">
        <f>C11-C13</f>
        <v>7.1458000000000013</v>
      </c>
      <c r="D15" s="121">
        <f t="shared" ref="D15:L15" si="3">D11-D13</f>
        <v>9.3389231249999991</v>
      </c>
      <c r="E15" s="121">
        <f t="shared" si="3"/>
        <v>10.935348031250001</v>
      </c>
      <c r="F15" s="121">
        <f t="shared" si="3"/>
        <v>12.092658557812499</v>
      </c>
      <c r="G15" s="121">
        <f t="shared" si="3"/>
        <v>14.053393360703124</v>
      </c>
      <c r="H15" s="121">
        <f t="shared" si="3"/>
        <v>16.003826778738286</v>
      </c>
      <c r="I15" s="121">
        <f t="shared" si="3"/>
        <v>18.073374680175203</v>
      </c>
      <c r="J15" s="121">
        <f t="shared" si="3"/>
        <v>20.838369039183956</v>
      </c>
      <c r="K15" s="121">
        <f t="shared" si="3"/>
        <v>22.988519991143146</v>
      </c>
      <c r="L15" s="121">
        <f t="shared" si="3"/>
        <v>25.794902865700312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topLeftCell="A3" zoomScale="60" zoomScaleNormal="100" workbookViewId="0">
      <selection activeCell="C5" sqref="A1:XFD1048576"/>
    </sheetView>
  </sheetViews>
  <sheetFormatPr defaultRowHeight="14.25" x14ac:dyDescent="0.2"/>
  <cols>
    <col min="1" max="1" width="35.140625" style="133" customWidth="1"/>
    <col min="2" max="5" width="9.85546875" style="133" bestFit="1" customWidth="1"/>
    <col min="6" max="6" width="10.85546875" style="133" bestFit="1" customWidth="1"/>
    <col min="7" max="7" width="10.42578125" style="133" bestFit="1" customWidth="1"/>
    <col min="8" max="8" width="10.85546875" style="133" bestFit="1" customWidth="1"/>
    <col min="9" max="9" width="10.5703125" style="133" bestFit="1" customWidth="1"/>
    <col min="10" max="11" width="10.85546875" style="133" bestFit="1" customWidth="1"/>
    <col min="12" max="13" width="9.140625" style="133"/>
    <col min="14" max="14" width="11" style="133" bestFit="1" customWidth="1"/>
    <col min="15" max="16384" width="9.140625" style="133"/>
  </cols>
  <sheetData>
    <row r="2" spans="1:11" ht="15" x14ac:dyDescent="0.25">
      <c r="A2" s="381" t="s">
        <v>168</v>
      </c>
      <c r="B2" s="382"/>
      <c r="C2" s="382"/>
      <c r="D2" s="382"/>
      <c r="E2" s="382"/>
      <c r="F2" s="382"/>
      <c r="G2" s="382"/>
      <c r="H2" s="367"/>
      <c r="I2" s="367"/>
      <c r="J2" s="367"/>
      <c r="K2" s="367"/>
    </row>
    <row r="3" spans="1:11" ht="15" x14ac:dyDescent="0.25">
      <c r="A3" s="114" t="s">
        <v>1</v>
      </c>
      <c r="B3" s="194" t="s">
        <v>36</v>
      </c>
      <c r="C3" s="194" t="s">
        <v>37</v>
      </c>
      <c r="D3" s="194" t="s">
        <v>38</v>
      </c>
      <c r="E3" s="194" t="s">
        <v>39</v>
      </c>
      <c r="F3" s="194" t="s">
        <v>40</v>
      </c>
      <c r="G3" s="194" t="s">
        <v>41</v>
      </c>
      <c r="H3" s="194" t="s">
        <v>42</v>
      </c>
      <c r="I3" s="194" t="s">
        <v>494</v>
      </c>
      <c r="J3" s="194" t="s">
        <v>495</v>
      </c>
      <c r="K3" s="194" t="s">
        <v>496</v>
      </c>
    </row>
    <row r="4" spans="1:11" ht="15" x14ac:dyDescent="0.25">
      <c r="A4" s="141"/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x14ac:dyDescent="0.2">
      <c r="A5" s="116" t="s">
        <v>169</v>
      </c>
      <c r="B5" s="195">
        <f>'Sales Schedule'!C45</f>
        <v>94.85</v>
      </c>
      <c r="C5" s="195">
        <f>'Sales Schedule'!D45</f>
        <v>113.46299999999999</v>
      </c>
      <c r="D5" s="195">
        <f>'Sales Schedule'!E45</f>
        <v>130.42659999999998</v>
      </c>
      <c r="E5" s="195">
        <f>'Sales Schedule'!F45</f>
        <v>148.90640000000002</v>
      </c>
      <c r="F5" s="195">
        <f>'Sales Schedule'!G45</f>
        <v>167.1832</v>
      </c>
      <c r="G5" s="195">
        <f>'Sales Schedule'!H45</f>
        <v>188.88140000000001</v>
      </c>
      <c r="H5" s="195">
        <f>'Sales Schedule'!I45</f>
        <v>211.26840000000004</v>
      </c>
      <c r="I5" s="195">
        <f>'Sales Schedule'!J45</f>
        <v>236.09960000000001</v>
      </c>
      <c r="J5" s="195">
        <f>'Sales Schedule'!K45</f>
        <v>262.13579999999996</v>
      </c>
      <c r="K5" s="195">
        <f>'Sales Schedule'!L45</f>
        <v>290.94699999999995</v>
      </c>
    </row>
    <row r="6" spans="1:11" x14ac:dyDescent="0.2">
      <c r="A6" s="116" t="s">
        <v>637</v>
      </c>
      <c r="B6" s="195">
        <f>'Output Schedule'!B14</f>
        <v>54</v>
      </c>
      <c r="C6" s="195">
        <f>'Output Schedule'!C14</f>
        <v>62.37</v>
      </c>
      <c r="D6" s="195">
        <f>'Output Schedule'!D14</f>
        <v>71.442000000000007</v>
      </c>
      <c r="E6" s="195">
        <f>'Output Schedule'!E14</f>
        <v>81.256500000000003</v>
      </c>
      <c r="F6" s="195">
        <f>'Output Schedule'!F14</f>
        <v>91.854000000000013</v>
      </c>
      <c r="G6" s="195">
        <f>'Output Schedule'!G14</f>
        <v>103.34250000000002</v>
      </c>
      <c r="H6" s="195">
        <f>'Output Schedule'!H14</f>
        <v>115.77600000000004</v>
      </c>
      <c r="I6" s="195">
        <f>'Output Schedule'!I14</f>
        <v>129.13200000000003</v>
      </c>
      <c r="J6" s="195">
        <f>'Output Schedule'!J14</f>
        <v>143.53200000000007</v>
      </c>
      <c r="K6" s="195">
        <f>'Output Schedule'!K14</f>
        <v>159.11550000000008</v>
      </c>
    </row>
    <row r="7" spans="1:11" hidden="1" x14ac:dyDescent="0.2">
      <c r="A7" s="116" t="s">
        <v>423</v>
      </c>
      <c r="B7" s="195">
        <f>'Farm Implement Business'!G10</f>
        <v>0</v>
      </c>
      <c r="C7" s="195">
        <f>'Farm Implement Business'!H10</f>
        <v>0</v>
      </c>
      <c r="D7" s="195">
        <f>'Farm Implement Business'!I10</f>
        <v>0</v>
      </c>
      <c r="E7" s="195">
        <f>'Farm Implement Business'!J10</f>
        <v>0</v>
      </c>
      <c r="F7" s="195">
        <f>'Farm Implement Business'!K10</f>
        <v>0</v>
      </c>
      <c r="G7" s="195">
        <f>'Farm Implement Business'!L10</f>
        <v>0</v>
      </c>
      <c r="H7" s="195">
        <f>'Farm Implement Business'!M10</f>
        <v>0</v>
      </c>
      <c r="I7" s="124"/>
      <c r="J7" s="196"/>
      <c r="K7" s="116"/>
    </row>
    <row r="8" spans="1:11" x14ac:dyDescent="0.2">
      <c r="A8" s="116" t="s">
        <v>626</v>
      </c>
      <c r="B8" s="124">
        <f>+'weigh Bridge'!C14</f>
        <v>3.7800000000000002</v>
      </c>
      <c r="C8" s="124">
        <f>+'weigh Bridge'!D14</f>
        <v>4.8575999999999997</v>
      </c>
      <c r="D8" s="124">
        <f>+'weigh Bridge'!E14</f>
        <v>6.12</v>
      </c>
      <c r="E8" s="124">
        <f>+'weigh Bridge'!F14</f>
        <v>7.5815999999999999</v>
      </c>
      <c r="F8" s="124">
        <f>+'weigh Bridge'!G14</f>
        <v>9.3631999999999991</v>
      </c>
      <c r="G8" s="124">
        <f>+'weigh Bridge'!H14</f>
        <v>11.280000000000001</v>
      </c>
      <c r="H8" s="124">
        <f>+'weigh Bridge'!I14</f>
        <v>13.440000000000001</v>
      </c>
      <c r="I8" s="124">
        <f>+'weigh Bridge'!J14</f>
        <v>15.857600000000001</v>
      </c>
      <c r="J8" s="124">
        <f>+'weigh Bridge'!K14</f>
        <v>18.712800000000001</v>
      </c>
      <c r="K8" s="124">
        <f>+'weigh Bridge'!L14</f>
        <v>21.705599999999997</v>
      </c>
    </row>
    <row r="9" spans="1:11" ht="15" x14ac:dyDescent="0.25">
      <c r="A9" s="197" t="s">
        <v>170</v>
      </c>
      <c r="B9" s="255">
        <f>SUM(B5:B8)</f>
        <v>152.63</v>
      </c>
      <c r="C9" s="193">
        <f t="shared" ref="C9:K9" si="0">SUM(C5:C8)</f>
        <v>180.69059999999999</v>
      </c>
      <c r="D9" s="193">
        <f t="shared" si="0"/>
        <v>207.98859999999999</v>
      </c>
      <c r="E9" s="193">
        <f t="shared" si="0"/>
        <v>237.74450000000004</v>
      </c>
      <c r="F9" s="193">
        <f t="shared" si="0"/>
        <v>268.40039999999999</v>
      </c>
      <c r="G9" s="193">
        <f t="shared" si="0"/>
        <v>303.50390000000004</v>
      </c>
      <c r="H9" s="193">
        <f t="shared" si="0"/>
        <v>340.48440000000011</v>
      </c>
      <c r="I9" s="193">
        <f t="shared" si="0"/>
        <v>381.08920000000006</v>
      </c>
      <c r="J9" s="193">
        <f t="shared" si="0"/>
        <v>424.38060000000007</v>
      </c>
      <c r="K9" s="193">
        <f t="shared" si="0"/>
        <v>471.7681</v>
      </c>
    </row>
    <row r="10" spans="1:11" ht="15" x14ac:dyDescent="0.25">
      <c r="A10" s="197"/>
      <c r="B10" s="193"/>
      <c r="C10" s="193"/>
      <c r="D10" s="193"/>
      <c r="E10" s="193"/>
      <c r="F10" s="193"/>
      <c r="G10" s="116"/>
      <c r="H10" s="116"/>
      <c r="I10" s="116"/>
      <c r="J10" s="116"/>
      <c r="K10" s="116"/>
    </row>
    <row r="11" spans="1:11" x14ac:dyDescent="0.2">
      <c r="A11" s="198" t="s">
        <v>171</v>
      </c>
      <c r="B11" s="199">
        <f>'CS-FG'!C122</f>
        <v>0</v>
      </c>
      <c r="C11" s="199">
        <f>'CS-FG'!D122</f>
        <v>4.08</v>
      </c>
      <c r="D11" s="199">
        <f>'CS-FG'!E122</f>
        <v>5.2290000000000001</v>
      </c>
      <c r="E11" s="199">
        <f>'CS-FG'!F122</f>
        <v>5.8327999999999998</v>
      </c>
      <c r="F11" s="199">
        <f>'CS-FG'!G122</f>
        <v>6.1243999999999996</v>
      </c>
      <c r="G11" s="199">
        <f>'CS-FG'!H122</f>
        <v>7.3053000000000008</v>
      </c>
      <c r="H11" s="199">
        <f>'CS-FG'!I122</f>
        <v>8.1934000000000005</v>
      </c>
      <c r="I11" s="199">
        <f>'CS-FG'!J122</f>
        <v>9.1256000000000004</v>
      </c>
      <c r="J11" s="199">
        <f>'CS-FG'!K122</f>
        <v>10.467599999999997</v>
      </c>
      <c r="K11" s="199">
        <f>'CS-FG'!L122</f>
        <v>11.390099999999997</v>
      </c>
    </row>
    <row r="12" spans="1:11" x14ac:dyDescent="0.2">
      <c r="A12" s="156" t="s">
        <v>172</v>
      </c>
      <c r="B12" s="199">
        <f>'CS-FG'!C123</f>
        <v>4.08</v>
      </c>
      <c r="C12" s="199">
        <f>'CS-FG'!D123</f>
        <v>5.2290000000000001</v>
      </c>
      <c r="D12" s="199">
        <f>'CS-FG'!E123</f>
        <v>5.8327999999999998</v>
      </c>
      <c r="E12" s="199">
        <f>'CS-FG'!F123</f>
        <v>6.1243999999999996</v>
      </c>
      <c r="F12" s="199">
        <f>'CS-FG'!G123</f>
        <v>7.3053000000000008</v>
      </c>
      <c r="G12" s="199">
        <f>'CS-FG'!H123</f>
        <v>8.1934000000000005</v>
      </c>
      <c r="H12" s="199">
        <f>'CS-FG'!I123</f>
        <v>9.1256000000000004</v>
      </c>
      <c r="I12" s="199">
        <f>'CS-FG'!J123</f>
        <v>10.467599999999997</v>
      </c>
      <c r="J12" s="199">
        <f>'CS-FG'!K123</f>
        <v>11.390099999999997</v>
      </c>
      <c r="K12" s="199">
        <f>'CS-FG'!L123</f>
        <v>12.409100000000002</v>
      </c>
    </row>
    <row r="13" spans="1:11" ht="15" x14ac:dyDescent="0.25">
      <c r="A13" s="156"/>
      <c r="B13" s="193"/>
      <c r="C13" s="193"/>
      <c r="D13" s="193"/>
      <c r="E13" s="193"/>
      <c r="F13" s="193"/>
      <c r="G13" s="116"/>
      <c r="H13" s="116"/>
      <c r="I13" s="116"/>
      <c r="J13" s="116"/>
      <c r="K13" s="116"/>
    </row>
    <row r="14" spans="1:11" ht="15" x14ac:dyDescent="0.25">
      <c r="A14" s="200" t="s">
        <v>173</v>
      </c>
      <c r="B14" s="193">
        <f>B9+B12-B11</f>
        <v>156.71</v>
      </c>
      <c r="C14" s="193">
        <f t="shared" ref="C14:K14" si="1">C9+C12-C11</f>
        <v>181.83959999999999</v>
      </c>
      <c r="D14" s="193">
        <f t="shared" si="1"/>
        <v>208.59239999999997</v>
      </c>
      <c r="E14" s="193">
        <f t="shared" si="1"/>
        <v>238.03610000000006</v>
      </c>
      <c r="F14" s="193">
        <f t="shared" si="1"/>
        <v>269.5813</v>
      </c>
      <c r="G14" s="193">
        <f t="shared" si="1"/>
        <v>304.39200000000005</v>
      </c>
      <c r="H14" s="193">
        <f t="shared" si="1"/>
        <v>341.41660000000013</v>
      </c>
      <c r="I14" s="193">
        <f t="shared" si="1"/>
        <v>382.43120000000005</v>
      </c>
      <c r="J14" s="193">
        <f t="shared" si="1"/>
        <v>425.30310000000009</v>
      </c>
      <c r="K14" s="193">
        <f t="shared" si="1"/>
        <v>472.78710000000001</v>
      </c>
    </row>
    <row r="15" spans="1:11" ht="15" x14ac:dyDescent="0.25">
      <c r="A15" s="201"/>
      <c r="B15" s="193"/>
      <c r="C15" s="193"/>
      <c r="D15" s="193"/>
      <c r="E15" s="193"/>
      <c r="F15" s="193"/>
      <c r="G15" s="116"/>
      <c r="H15" s="116"/>
      <c r="I15" s="116"/>
      <c r="J15" s="116"/>
      <c r="K15" s="116"/>
    </row>
    <row r="16" spans="1:11" x14ac:dyDescent="0.2">
      <c r="A16" s="198" t="s">
        <v>174</v>
      </c>
      <c r="B16" s="124">
        <f>'Purchase Schedule'!B9</f>
        <v>105.23</v>
      </c>
      <c r="C16" s="124">
        <f>'Purchase Schedule'!C9</f>
        <v>117.096</v>
      </c>
      <c r="D16" s="124">
        <f>'Purchase Schedule'!D9</f>
        <v>134.31059999999999</v>
      </c>
      <c r="E16" s="124">
        <f>'Purchase Schedule'!E9</f>
        <v>152.24850000000001</v>
      </c>
      <c r="F16" s="124">
        <f>'Purchase Schedule'!F9</f>
        <v>172.41659999999999</v>
      </c>
      <c r="G16" s="124">
        <f>'Purchase Schedule'!G9</f>
        <v>193.9102</v>
      </c>
      <c r="H16" s="124">
        <f>'Purchase Schedule'!H9</f>
        <v>217.18700000000001</v>
      </c>
      <c r="I16" s="124">
        <f>'Purchase Schedule'!I9</f>
        <v>242.505</v>
      </c>
      <c r="J16" s="124">
        <f>'Purchase Schedule'!J9</f>
        <v>268.95780000000002</v>
      </c>
      <c r="K16" s="124">
        <f>'Purchase Schedule'!K9</f>
        <v>298.70499999999998</v>
      </c>
    </row>
    <row r="17" spans="1:11" x14ac:dyDescent="0.2">
      <c r="A17" s="198"/>
      <c r="B17" s="124"/>
      <c r="C17" s="124"/>
      <c r="D17" s="124"/>
      <c r="E17" s="124"/>
      <c r="F17" s="124"/>
      <c r="G17" s="116"/>
      <c r="H17" s="116"/>
      <c r="I17" s="116"/>
      <c r="J17" s="116"/>
      <c r="K17" s="116"/>
    </row>
    <row r="18" spans="1:11" x14ac:dyDescent="0.2">
      <c r="A18" s="198" t="s">
        <v>175</v>
      </c>
      <c r="B18" s="199">
        <f>'CS-RM'!B30</f>
        <v>0</v>
      </c>
      <c r="C18" s="199">
        <f>'CS-RM'!C30</f>
        <v>4.2300000000000004</v>
      </c>
      <c r="D18" s="199">
        <f>'CS-RM'!D30</f>
        <v>4.8825000000000003</v>
      </c>
      <c r="E18" s="199">
        <f>'CS-RM'!E30</f>
        <v>5.7997999999999994</v>
      </c>
      <c r="F18" s="199">
        <f>'CS-RM'!F30</f>
        <v>6.3103999999999996</v>
      </c>
      <c r="G18" s="199">
        <f>'CS-RM'!G30</f>
        <v>7.1364000000000001</v>
      </c>
      <c r="H18" s="199">
        <f>'CS-RM'!H30</f>
        <v>7.9795999999999996</v>
      </c>
      <c r="I18" s="199">
        <f>'CS-RM'!I30</f>
        <v>8.9411000000000005</v>
      </c>
      <c r="J18" s="199">
        <f>'CS-RM'!J30</f>
        <v>10.245699999999999</v>
      </c>
      <c r="K18" s="199">
        <f>'CS-RM'!K30</f>
        <v>11.0397</v>
      </c>
    </row>
    <row r="19" spans="1:11" x14ac:dyDescent="0.2">
      <c r="A19" s="156" t="s">
        <v>176</v>
      </c>
      <c r="B19" s="199">
        <f>'CS-RM'!B31</f>
        <v>4.2300000000000004</v>
      </c>
      <c r="C19" s="199">
        <f>'CS-RM'!C31</f>
        <v>4.8825000000000003</v>
      </c>
      <c r="D19" s="199">
        <f>'CS-RM'!D31</f>
        <v>5.7997999999999994</v>
      </c>
      <c r="E19" s="199">
        <f>'CS-RM'!E31</f>
        <v>6.3103999999999996</v>
      </c>
      <c r="F19" s="199">
        <f>'CS-RM'!F31</f>
        <v>7.1364000000000001</v>
      </c>
      <c r="G19" s="199">
        <f>'CS-RM'!G31</f>
        <v>7.9795999999999996</v>
      </c>
      <c r="H19" s="199">
        <f>'CS-RM'!H31</f>
        <v>8.9411000000000005</v>
      </c>
      <c r="I19" s="199">
        <f>'CS-RM'!I31</f>
        <v>10.245699999999999</v>
      </c>
      <c r="J19" s="199">
        <f>'CS-RM'!J31</f>
        <v>11.0397</v>
      </c>
      <c r="K19" s="199">
        <f>'CS-RM'!K31</f>
        <v>12.5372</v>
      </c>
    </row>
    <row r="20" spans="1:11" ht="15" x14ac:dyDescent="0.25">
      <c r="A20" s="198"/>
      <c r="B20" s="193"/>
      <c r="C20" s="193"/>
      <c r="D20" s="193"/>
      <c r="E20" s="193"/>
      <c r="F20" s="193"/>
      <c r="G20" s="116"/>
      <c r="H20" s="116"/>
      <c r="I20" s="116"/>
      <c r="J20" s="116"/>
      <c r="K20" s="116"/>
    </row>
    <row r="21" spans="1:11" ht="15" x14ac:dyDescent="0.25">
      <c r="A21" s="200" t="s">
        <v>177</v>
      </c>
      <c r="B21" s="193">
        <f>B16+B18-B19</f>
        <v>101</v>
      </c>
      <c r="C21" s="193">
        <f t="shared" ref="C21:K21" si="2">C16+C18-C19</f>
        <v>116.4435</v>
      </c>
      <c r="D21" s="193">
        <f t="shared" si="2"/>
        <v>133.39329999999998</v>
      </c>
      <c r="E21" s="193">
        <f t="shared" si="2"/>
        <v>151.73790000000002</v>
      </c>
      <c r="F21" s="193">
        <f t="shared" si="2"/>
        <v>171.59059999999997</v>
      </c>
      <c r="G21" s="193">
        <f t="shared" si="2"/>
        <v>193.06700000000001</v>
      </c>
      <c r="H21" s="193">
        <f t="shared" si="2"/>
        <v>216.22550000000001</v>
      </c>
      <c r="I21" s="193">
        <f t="shared" si="2"/>
        <v>241.2004</v>
      </c>
      <c r="J21" s="193">
        <f t="shared" si="2"/>
        <v>268.16380000000004</v>
      </c>
      <c r="K21" s="193">
        <f t="shared" si="2"/>
        <v>297.20749999999998</v>
      </c>
    </row>
    <row r="22" spans="1:11" ht="15" x14ac:dyDescent="0.25">
      <c r="A22" s="197"/>
      <c r="B22" s="193"/>
      <c r="C22" s="193"/>
      <c r="D22" s="193"/>
      <c r="E22" s="193"/>
      <c r="F22" s="193"/>
      <c r="G22" s="116"/>
      <c r="H22" s="116"/>
      <c r="I22" s="116"/>
      <c r="J22" s="116"/>
      <c r="K22" s="116"/>
    </row>
    <row r="23" spans="1:11" ht="15" x14ac:dyDescent="0.25">
      <c r="A23" s="302" t="s">
        <v>178</v>
      </c>
      <c r="B23" s="219">
        <f>'Opex Schedule'!C18+'Opex Schedule'!C27</f>
        <v>19.698599999999999</v>
      </c>
      <c r="C23" s="219">
        <f>'Opex Schedule'!D18+'Opex Schedule'!D27</f>
        <v>20.682030000000001</v>
      </c>
      <c r="D23" s="219">
        <f>'Opex Schedule'!E18+'Opex Schedule'!E27</f>
        <v>21.714631500000003</v>
      </c>
      <c r="E23" s="219">
        <f>'Opex Schedule'!F18+'Opex Schedule'!F27</f>
        <v>22.798863075000007</v>
      </c>
      <c r="F23" s="219">
        <f>'Opex Schedule'!G18+'Opex Schedule'!G27</f>
        <v>23.937306228750007</v>
      </c>
      <c r="G23" s="219">
        <f>'Opex Schedule'!H18+'Opex Schedule'!H27</f>
        <v>25.132671540187509</v>
      </c>
      <c r="H23" s="219">
        <f>'Opex Schedule'!I18+'Opex Schedule'!I27</f>
        <v>26.387805117196883</v>
      </c>
      <c r="I23" s="219">
        <f>'Opex Schedule'!J18+'Opex Schedule'!J27</f>
        <v>27.705695373056734</v>
      </c>
      <c r="J23" s="219">
        <f>'Opex Schedule'!K18+'Opex Schedule'!K27</f>
        <v>29.089480141709572</v>
      </c>
      <c r="K23" s="219">
        <f>'Opex Schedule'!L18+'Opex Schedule'!L27</f>
        <v>30.542454148795052</v>
      </c>
    </row>
    <row r="24" spans="1:11" ht="15" x14ac:dyDescent="0.25">
      <c r="A24" s="197"/>
      <c r="B24" s="193"/>
      <c r="C24" s="193"/>
      <c r="D24" s="193"/>
      <c r="E24" s="193"/>
      <c r="F24" s="193"/>
      <c r="G24" s="116"/>
      <c r="H24" s="116"/>
      <c r="I24" s="116"/>
      <c r="J24" s="116"/>
      <c r="K24" s="116"/>
    </row>
    <row r="25" spans="1:11" ht="15" x14ac:dyDescent="0.25">
      <c r="A25" s="302" t="s">
        <v>179</v>
      </c>
      <c r="B25" s="193">
        <f>'Opex Schedule'!C42</f>
        <v>13.088600000000001</v>
      </c>
      <c r="C25" s="193">
        <f>'Opex Schedule'!D42</f>
        <v>14.827800000000002</v>
      </c>
      <c r="D25" s="193">
        <f>'Opex Schedule'!E42</f>
        <v>16.588999999999999</v>
      </c>
      <c r="E25" s="193">
        <f>'Opex Schedule'!F42</f>
        <v>18.432199999999998</v>
      </c>
      <c r="F25" s="193">
        <f>'Opex Schedule'!G42</f>
        <v>20.492599999999999</v>
      </c>
      <c r="G25" s="193">
        <f>'Opex Schedule'!H42</f>
        <v>22.4758</v>
      </c>
      <c r="H25" s="193">
        <f>'Opex Schedule'!I42</f>
        <v>24.536000000000001</v>
      </c>
      <c r="I25" s="193">
        <f>'Opex Schedule'!J42</f>
        <v>26.0242</v>
      </c>
      <c r="J25" s="193">
        <f>'Opex Schedule'!K42</f>
        <v>27.674599999999995</v>
      </c>
      <c r="K25" s="193">
        <f>'Opex Schedule'!L42</f>
        <v>29.157800000000002</v>
      </c>
    </row>
    <row r="26" spans="1:11" x14ac:dyDescent="0.2">
      <c r="A26" s="116"/>
      <c r="B26" s="124"/>
      <c r="C26" s="124"/>
      <c r="D26" s="124"/>
      <c r="E26" s="124"/>
      <c r="F26" s="124"/>
      <c r="G26" s="116"/>
      <c r="H26" s="116"/>
      <c r="I26" s="116"/>
      <c r="J26" s="116"/>
      <c r="K26" s="116"/>
    </row>
    <row r="27" spans="1:11" x14ac:dyDescent="0.2">
      <c r="A27" s="116" t="s">
        <v>180</v>
      </c>
      <c r="B27" s="124">
        <f>'Project Glance'!B10/10</f>
        <v>0.97820000000000018</v>
      </c>
      <c r="C27" s="124">
        <f>B27</f>
        <v>0.97820000000000018</v>
      </c>
      <c r="D27" s="124">
        <f t="shared" ref="D27:K27" si="3">C27</f>
        <v>0.97820000000000018</v>
      </c>
      <c r="E27" s="124">
        <f t="shared" si="3"/>
        <v>0.97820000000000018</v>
      </c>
      <c r="F27" s="124">
        <f t="shared" si="3"/>
        <v>0.97820000000000018</v>
      </c>
      <c r="G27" s="124">
        <f t="shared" si="3"/>
        <v>0.97820000000000018</v>
      </c>
      <c r="H27" s="124">
        <f t="shared" si="3"/>
        <v>0.97820000000000018</v>
      </c>
      <c r="I27" s="124">
        <f t="shared" si="3"/>
        <v>0.97820000000000018</v>
      </c>
      <c r="J27" s="124">
        <f t="shared" si="3"/>
        <v>0.97820000000000018</v>
      </c>
      <c r="K27" s="124">
        <f t="shared" si="3"/>
        <v>0.97820000000000018</v>
      </c>
    </row>
    <row r="28" spans="1:11" x14ac:dyDescent="0.2">
      <c r="A28" s="116"/>
      <c r="B28" s="124"/>
      <c r="C28" s="124"/>
      <c r="D28" s="124"/>
      <c r="E28" s="124"/>
      <c r="F28" s="124"/>
      <c r="G28" s="116"/>
      <c r="H28" s="116"/>
      <c r="I28" s="116"/>
      <c r="J28" s="116"/>
      <c r="K28" s="116"/>
    </row>
    <row r="29" spans="1:11" x14ac:dyDescent="0.2">
      <c r="A29" s="116" t="s">
        <v>181</v>
      </c>
      <c r="B29" s="124">
        <f>B14-B21-B23-B25-B27</f>
        <v>21.944600000000008</v>
      </c>
      <c r="C29" s="124">
        <f t="shared" ref="C29:K29" si="4">C14-C21-C23-C25-C27</f>
        <v>28.908069999999988</v>
      </c>
      <c r="D29" s="124">
        <f t="shared" si="4"/>
        <v>35.917268499999984</v>
      </c>
      <c r="E29" s="124">
        <f t="shared" si="4"/>
        <v>44.088936925000027</v>
      </c>
      <c r="F29" s="124">
        <f t="shared" si="4"/>
        <v>52.582593771250032</v>
      </c>
      <c r="G29" s="124">
        <f t="shared" si="4"/>
        <v>62.738328459812529</v>
      </c>
      <c r="H29" s="124">
        <f t="shared" si="4"/>
        <v>73.289094882803241</v>
      </c>
      <c r="I29" s="124">
        <f t="shared" si="4"/>
        <v>86.522704626943309</v>
      </c>
      <c r="J29" s="124">
        <f t="shared" si="4"/>
        <v>99.397019858290477</v>
      </c>
      <c r="K29" s="124">
        <f t="shared" si="4"/>
        <v>114.90114585120496</v>
      </c>
    </row>
    <row r="30" spans="1:11" x14ac:dyDescent="0.2">
      <c r="A30" s="116" t="s">
        <v>182</v>
      </c>
      <c r="B30" s="199">
        <f>'TL Schedule'!C5</f>
        <v>0</v>
      </c>
      <c r="C30" s="199">
        <f>'TL Schedule'!D5</f>
        <v>0</v>
      </c>
      <c r="D30" s="199">
        <f>'TL Schedule'!E5</f>
        <v>0</v>
      </c>
      <c r="E30" s="199">
        <f>'TL Schedule'!F5</f>
        <v>0</v>
      </c>
      <c r="F30" s="199">
        <f>'TL Schedule'!G5</f>
        <v>0</v>
      </c>
      <c r="G30" s="199">
        <f>'TL Schedule'!H5</f>
        <v>0</v>
      </c>
      <c r="H30" s="199">
        <f>'TL Schedule'!I5</f>
        <v>0</v>
      </c>
      <c r="I30" s="199">
        <f>'TL Schedule'!J5</f>
        <v>0</v>
      </c>
      <c r="J30" s="199">
        <f>'TL Schedule'!K5</f>
        <v>0</v>
      </c>
      <c r="K30" s="199">
        <f>'TL Schedule'!L5</f>
        <v>0</v>
      </c>
    </row>
    <row r="31" spans="1:11" x14ac:dyDescent="0.2">
      <c r="A31" s="157" t="s">
        <v>183</v>
      </c>
      <c r="B31" s="199">
        <f>'WC Assessment'!C15*0.09</f>
        <v>0.64312200000000008</v>
      </c>
      <c r="C31" s="199">
        <f>'WC Assessment'!D15*0.09</f>
        <v>0.84050308124999984</v>
      </c>
      <c r="D31" s="199">
        <f>'WC Assessment'!E15*0.09</f>
        <v>0.98418132281250004</v>
      </c>
      <c r="E31" s="199">
        <f>'WC Assessment'!F15*0.09</f>
        <v>1.0883392702031249</v>
      </c>
      <c r="F31" s="199">
        <f>'WC Assessment'!G15*0.09</f>
        <v>1.2648054024632811</v>
      </c>
      <c r="G31" s="199">
        <f>'WC Assessment'!H15*0.09</f>
        <v>1.4403444100864458</v>
      </c>
      <c r="H31" s="199">
        <f>'WC Assessment'!I15*0.09</f>
        <v>1.6266037212157682</v>
      </c>
      <c r="I31" s="199">
        <f>'WC Assessment'!J15*0.09</f>
        <v>1.875453213526556</v>
      </c>
      <c r="J31" s="199">
        <f>'WC Assessment'!K15*0.09</f>
        <v>2.0689667992028831</v>
      </c>
      <c r="K31" s="199">
        <f>'WC Assessment'!L15*0.09</f>
        <v>2.3215412579130281</v>
      </c>
    </row>
    <row r="32" spans="1:11" x14ac:dyDescent="0.2">
      <c r="A32" s="116" t="s">
        <v>184</v>
      </c>
      <c r="B32" s="124">
        <f>Depn!C20</f>
        <v>9.4711239999999997</v>
      </c>
      <c r="C32" s="124">
        <f>Depn!D20</f>
        <v>9.4711239999999997</v>
      </c>
      <c r="D32" s="124">
        <f>Depn!E20</f>
        <v>9.4711239999999997</v>
      </c>
      <c r="E32" s="124">
        <f>Depn!F20</f>
        <v>9.4711239999999997</v>
      </c>
      <c r="F32" s="124">
        <f>Depn!G20</f>
        <v>9.4711239999999997</v>
      </c>
      <c r="G32" s="124">
        <f>Depn!H20</f>
        <v>9.4711239999999997</v>
      </c>
      <c r="H32" s="124">
        <f>Depn!I20</f>
        <v>9.4711239999999997</v>
      </c>
      <c r="I32" s="124">
        <f>Depn!J20</f>
        <v>9.4711239999999997</v>
      </c>
      <c r="J32" s="124">
        <f>Depn!K20</f>
        <v>9.4711239999999997</v>
      </c>
      <c r="K32" s="124">
        <f>Depn!L20</f>
        <v>9.4711239999999997</v>
      </c>
    </row>
    <row r="33" spans="1:13" x14ac:dyDescent="0.2">
      <c r="A33" s="116"/>
      <c r="B33" s="124"/>
      <c r="C33" s="124"/>
      <c r="D33" s="124"/>
      <c r="E33" s="124"/>
      <c r="F33" s="124"/>
      <c r="G33" s="116"/>
      <c r="H33" s="116"/>
      <c r="I33" s="116"/>
      <c r="J33" s="116"/>
      <c r="K33" s="116"/>
    </row>
    <row r="34" spans="1:13" x14ac:dyDescent="0.2">
      <c r="A34" s="116" t="s">
        <v>185</v>
      </c>
      <c r="B34" s="124">
        <f>B29-B30-B31-B32</f>
        <v>11.830354000000007</v>
      </c>
      <c r="C34" s="124">
        <f t="shared" ref="C34:K34" si="5">C29-C30-C31-C32</f>
        <v>18.59644291874999</v>
      </c>
      <c r="D34" s="124">
        <f t="shared" si="5"/>
        <v>25.461963177187481</v>
      </c>
      <c r="E34" s="124">
        <f t="shared" si="5"/>
        <v>33.529473654796902</v>
      </c>
      <c r="F34" s="124">
        <f t="shared" si="5"/>
        <v>41.846664368786747</v>
      </c>
      <c r="G34" s="124">
        <f t="shared" si="5"/>
        <v>51.826860049726079</v>
      </c>
      <c r="H34" s="124">
        <f t="shared" si="5"/>
        <v>62.191367161587465</v>
      </c>
      <c r="I34" s="124">
        <f t="shared" si="5"/>
        <v>75.176127413416751</v>
      </c>
      <c r="J34" s="124">
        <f t="shared" si="5"/>
        <v>87.856929059087591</v>
      </c>
      <c r="K34" s="124">
        <f t="shared" si="5"/>
        <v>103.10848059329193</v>
      </c>
    </row>
    <row r="35" spans="1:13" x14ac:dyDescent="0.2">
      <c r="A35" s="116" t="s">
        <v>188</v>
      </c>
      <c r="B35" s="124">
        <f>Tax!B13</f>
        <v>0</v>
      </c>
      <c r="C35" s="124">
        <f>Tax!C13</f>
        <v>0.35648847562499825</v>
      </c>
      <c r="D35" s="124">
        <f>Tax!D13</f>
        <v>4.5827489031562445</v>
      </c>
      <c r="E35" s="124">
        <f>Tax!E13</f>
        <v>7.7315609339390701</v>
      </c>
      <c r="F35" s="124">
        <f>Tax!F13</f>
        <v>10.857193072511024</v>
      </c>
      <c r="G35" s="124">
        <f>Tax!G13</f>
        <v>14.397235345511573</v>
      </c>
      <c r="H35" s="124">
        <f>Tax!H13</f>
        <v>17.979745407180925</v>
      </c>
      <c r="I35" s="124">
        <f>Tax!I13</f>
        <v>22.285522426854012</v>
      </c>
      <c r="J35" s="124">
        <f>Tax!J13</f>
        <v>26.445907757767916</v>
      </c>
      <c r="K35" s="124">
        <f>Tax!K13</f>
        <v>31.330709740896271</v>
      </c>
      <c r="M35" s="283"/>
    </row>
    <row r="36" spans="1:13" ht="15" x14ac:dyDescent="0.25">
      <c r="A36" s="141" t="s">
        <v>186</v>
      </c>
      <c r="B36" s="193">
        <f>B34-B35</f>
        <v>11.830354000000007</v>
      </c>
      <c r="C36" s="193">
        <f t="shared" ref="C36:K36" si="6">C34-C35</f>
        <v>18.23995444312499</v>
      </c>
      <c r="D36" s="193">
        <f t="shared" si="6"/>
        <v>20.879214274031238</v>
      </c>
      <c r="E36" s="193">
        <f t="shared" si="6"/>
        <v>25.79791272085783</v>
      </c>
      <c r="F36" s="193">
        <f t="shared" si="6"/>
        <v>30.989471296275724</v>
      </c>
      <c r="G36" s="193">
        <f t="shared" si="6"/>
        <v>37.429624704214504</v>
      </c>
      <c r="H36" s="193">
        <f t="shared" si="6"/>
        <v>44.211621754406536</v>
      </c>
      <c r="I36" s="193">
        <f t="shared" si="6"/>
        <v>52.890604986562735</v>
      </c>
      <c r="J36" s="193">
        <f t="shared" si="6"/>
        <v>61.411021301319678</v>
      </c>
      <c r="K36" s="193">
        <f t="shared" si="6"/>
        <v>71.777770852395662</v>
      </c>
      <c r="M36" s="283"/>
    </row>
    <row r="37" spans="1:13" x14ac:dyDescent="0.2">
      <c r="J37" s="215"/>
      <c r="K37" s="215"/>
      <c r="M37" s="283"/>
    </row>
    <row r="38" spans="1:13" x14ac:dyDescent="0.2">
      <c r="B38" s="283"/>
      <c r="J38" s="215"/>
      <c r="K38" s="215"/>
    </row>
    <row r="39" spans="1:13" x14ac:dyDescent="0.2">
      <c r="B39" s="215"/>
      <c r="C39" s="215"/>
      <c r="D39" s="215"/>
      <c r="E39" s="215"/>
      <c r="F39" s="215"/>
    </row>
    <row r="41" spans="1:13" x14ac:dyDescent="0.2">
      <c r="A41" s="116" t="s">
        <v>187</v>
      </c>
      <c r="B41" s="124">
        <f>B36</f>
        <v>11.830354000000007</v>
      </c>
      <c r="C41" s="124">
        <f>B41+C36</f>
        <v>30.070308443124997</v>
      </c>
      <c r="D41" s="124">
        <f t="shared" ref="D41:K41" si="7">C41+D36</f>
        <v>50.949522717156235</v>
      </c>
      <c r="E41" s="124">
        <f t="shared" si="7"/>
        <v>76.747435438014065</v>
      </c>
      <c r="F41" s="124">
        <f t="shared" si="7"/>
        <v>107.73690673428979</v>
      </c>
      <c r="G41" s="124">
        <f t="shared" si="7"/>
        <v>145.16653143850431</v>
      </c>
      <c r="H41" s="124">
        <f t="shared" si="7"/>
        <v>189.37815319291084</v>
      </c>
      <c r="I41" s="124">
        <f t="shared" si="7"/>
        <v>242.26875817947359</v>
      </c>
      <c r="J41" s="124">
        <f t="shared" si="7"/>
        <v>303.67977948079329</v>
      </c>
      <c r="K41" s="124">
        <f t="shared" si="7"/>
        <v>375.45755033318892</v>
      </c>
    </row>
    <row r="44" spans="1:13" ht="16.5" customHeight="1" x14ac:dyDescent="0.2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zoomScale="60" zoomScaleNormal="100" workbookViewId="0">
      <selection activeCell="D5" sqref="A1:XFD1048576"/>
    </sheetView>
  </sheetViews>
  <sheetFormatPr defaultRowHeight="14.25" x14ac:dyDescent="0.2"/>
  <cols>
    <col min="1" max="1" width="4" style="237" bestFit="1" customWidth="1"/>
    <col min="2" max="2" width="76.28515625" style="133" bestFit="1" customWidth="1"/>
    <col min="3" max="3" width="23.7109375" style="133" bestFit="1" customWidth="1"/>
    <col min="4" max="4" width="19.85546875" style="133" bestFit="1" customWidth="1"/>
    <col min="5" max="12" width="12.28515625" style="133" bestFit="1" customWidth="1"/>
    <col min="13" max="16384" width="9.140625" style="133"/>
  </cols>
  <sheetData>
    <row r="1" spans="1:12" ht="15" x14ac:dyDescent="0.25">
      <c r="A1" s="325"/>
      <c r="B1" s="262" t="s">
        <v>630</v>
      </c>
    </row>
    <row r="2" spans="1:12" ht="15" x14ac:dyDescent="0.25">
      <c r="A2" s="168">
        <v>1</v>
      </c>
      <c r="B2" s="139" t="s">
        <v>368</v>
      </c>
    </row>
    <row r="3" spans="1:12" x14ac:dyDescent="0.2">
      <c r="A3" s="236" t="s">
        <v>329</v>
      </c>
      <c r="B3" s="133" t="s">
        <v>369</v>
      </c>
      <c r="C3" s="133" t="s">
        <v>640</v>
      </c>
    </row>
    <row r="4" spans="1:12" x14ac:dyDescent="0.2">
      <c r="A4" s="236" t="s">
        <v>330</v>
      </c>
      <c r="B4" s="133" t="s">
        <v>370</v>
      </c>
      <c r="C4" s="133" t="s">
        <v>641</v>
      </c>
    </row>
    <row r="6" spans="1:12" ht="15" x14ac:dyDescent="0.25">
      <c r="A6" s="168">
        <v>2</v>
      </c>
      <c r="B6" s="139" t="s">
        <v>360</v>
      </c>
      <c r="C6" s="139" t="s">
        <v>371</v>
      </c>
      <c r="D6" s="139" t="s">
        <v>451</v>
      </c>
    </row>
    <row r="7" spans="1:12" x14ac:dyDescent="0.2">
      <c r="B7" s="133" t="s">
        <v>372</v>
      </c>
      <c r="C7" s="238">
        <v>3.1699999999999999E-2</v>
      </c>
      <c r="D7" s="238">
        <v>6.3299999999999995E-2</v>
      </c>
    </row>
    <row r="8" spans="1:12" x14ac:dyDescent="0.2">
      <c r="B8" s="133" t="s">
        <v>373</v>
      </c>
      <c r="C8" s="239">
        <v>0.1</v>
      </c>
      <c r="D8" s="239">
        <v>0.15</v>
      </c>
    </row>
    <row r="9" spans="1:12" x14ac:dyDescent="0.2">
      <c r="B9" s="256"/>
    </row>
    <row r="10" spans="1:12" ht="15" x14ac:dyDescent="0.25">
      <c r="A10" s="168">
        <v>3</v>
      </c>
      <c r="B10" s="139" t="s">
        <v>374</v>
      </c>
      <c r="C10" s="139" t="s">
        <v>728</v>
      </c>
    </row>
    <row r="12" spans="1:12" ht="15" x14ac:dyDescent="0.25">
      <c r="A12" s="168">
        <v>4</v>
      </c>
      <c r="B12" s="139" t="s">
        <v>144</v>
      </c>
      <c r="C12" s="240" t="s">
        <v>36</v>
      </c>
      <c r="D12" s="240" t="s">
        <v>37</v>
      </c>
      <c r="E12" s="240" t="s">
        <v>38</v>
      </c>
      <c r="F12" s="240" t="s">
        <v>39</v>
      </c>
      <c r="G12" s="240" t="s">
        <v>40</v>
      </c>
      <c r="H12" s="240" t="s">
        <v>41</v>
      </c>
      <c r="I12" s="240" t="s">
        <v>42</v>
      </c>
      <c r="J12" s="240" t="s">
        <v>494</v>
      </c>
      <c r="K12" s="240" t="s">
        <v>495</v>
      </c>
      <c r="L12" s="240" t="s">
        <v>496</v>
      </c>
    </row>
    <row r="13" spans="1:12" ht="15" x14ac:dyDescent="0.25">
      <c r="A13" s="236" t="s">
        <v>329</v>
      </c>
      <c r="B13" s="241" t="s">
        <v>375</v>
      </c>
      <c r="C13" s="242">
        <f>'Output Schedule'!B8</f>
        <v>0.5</v>
      </c>
      <c r="D13" s="242">
        <f>'Output Schedule'!C8</f>
        <v>0.55000000000000004</v>
      </c>
      <c r="E13" s="242">
        <f>'Output Schedule'!D8</f>
        <v>0.60000000000000009</v>
      </c>
      <c r="F13" s="242">
        <f>'Output Schedule'!E8</f>
        <v>0.65000000000000013</v>
      </c>
      <c r="G13" s="242">
        <f>'Output Schedule'!F8</f>
        <v>0.70000000000000018</v>
      </c>
      <c r="H13" s="242">
        <f>'Output Schedule'!G8</f>
        <v>0.75000000000000022</v>
      </c>
      <c r="I13" s="242">
        <f>'Output Schedule'!H8</f>
        <v>0.80000000000000027</v>
      </c>
      <c r="J13" s="242">
        <f>'Output Schedule'!I8</f>
        <v>0.85000000000000031</v>
      </c>
      <c r="K13" s="242">
        <f>'Output Schedule'!J8</f>
        <v>0.90000000000000036</v>
      </c>
      <c r="L13" s="242">
        <f>'Output Schedule'!K8</f>
        <v>0.9500000000000004</v>
      </c>
    </row>
    <row r="14" spans="1:12" ht="15" x14ac:dyDescent="0.25">
      <c r="A14" s="236" t="s">
        <v>330</v>
      </c>
      <c r="B14" s="241" t="s">
        <v>161</v>
      </c>
      <c r="C14" s="242">
        <f>'Output Schedule'!B9</f>
        <v>0.5</v>
      </c>
      <c r="D14" s="242">
        <f>'Output Schedule'!C9</f>
        <v>0.55000000000000004</v>
      </c>
      <c r="E14" s="242">
        <f>'Output Schedule'!D9</f>
        <v>0.60000000000000009</v>
      </c>
      <c r="F14" s="242">
        <f>'Output Schedule'!E9</f>
        <v>0.65000000000000013</v>
      </c>
      <c r="G14" s="242">
        <f>'Output Schedule'!F9</f>
        <v>0.70000000000000018</v>
      </c>
      <c r="H14" s="242">
        <f>'Output Schedule'!G9</f>
        <v>0.75000000000000022</v>
      </c>
      <c r="I14" s="242">
        <f>'Output Schedule'!H9</f>
        <v>0.80000000000000027</v>
      </c>
      <c r="J14" s="242">
        <f>'Output Schedule'!I9</f>
        <v>0.85000000000000031</v>
      </c>
      <c r="K14" s="242">
        <f>'Output Schedule'!J9</f>
        <v>0.90000000000000036</v>
      </c>
      <c r="L14" s="242">
        <f>'Output Schedule'!K9</f>
        <v>0.9500000000000004</v>
      </c>
    </row>
    <row r="15" spans="1:12" ht="15" hidden="1" x14ac:dyDescent="0.25">
      <c r="A15" s="236" t="s">
        <v>331</v>
      </c>
      <c r="B15" s="241" t="s">
        <v>450</v>
      </c>
      <c r="C15" s="242">
        <f>'Farm Implement Business'!G4</f>
        <v>0.4</v>
      </c>
      <c r="D15" s="242">
        <f>'Farm Implement Business'!H4</f>
        <v>0.5</v>
      </c>
      <c r="E15" s="242">
        <f>'Farm Implement Business'!I4</f>
        <v>0.55000000000000004</v>
      </c>
      <c r="F15" s="242">
        <f>'Farm Implement Business'!J4</f>
        <v>0.60000000000000009</v>
      </c>
      <c r="G15" s="242">
        <f>'Farm Implement Business'!K4</f>
        <v>0.65000000000000013</v>
      </c>
      <c r="H15" s="242">
        <f>'Farm Implement Business'!L4</f>
        <v>0.65000000000000013</v>
      </c>
      <c r="I15" s="242">
        <f>'Farm Implement Business'!M4</f>
        <v>0.65000000000000013</v>
      </c>
    </row>
    <row r="17" spans="1:12" ht="15" x14ac:dyDescent="0.25">
      <c r="A17" s="168">
        <v>5</v>
      </c>
      <c r="B17" s="139" t="s">
        <v>730</v>
      </c>
    </row>
    <row r="18" spans="1:12" x14ac:dyDescent="0.2">
      <c r="A18" s="236" t="s">
        <v>329</v>
      </c>
      <c r="B18" s="241" t="str">
        <f>+'Output Schedule'!A27</f>
        <v>Rice</v>
      </c>
      <c r="C18" s="326">
        <f>+'Output Schedule'!L27</f>
        <v>0.48</v>
      </c>
    </row>
    <row r="19" spans="1:12" x14ac:dyDescent="0.2">
      <c r="A19" s="236" t="s">
        <v>330</v>
      </c>
      <c r="B19" s="241" t="str">
        <f>+'Output Schedule'!A28</f>
        <v>Husk</v>
      </c>
      <c r="C19" s="326">
        <f>+'Output Schedule'!L28</f>
        <v>0.2</v>
      </c>
    </row>
    <row r="20" spans="1:12" x14ac:dyDescent="0.2">
      <c r="A20" s="236" t="s">
        <v>331</v>
      </c>
      <c r="B20" s="241" t="str">
        <f>+'Output Schedule'!A29</f>
        <v>Broken</v>
      </c>
      <c r="C20" s="326">
        <f>+'Output Schedule'!L29</f>
        <v>0.1</v>
      </c>
    </row>
    <row r="21" spans="1:12" x14ac:dyDescent="0.2">
      <c r="A21" s="236" t="s">
        <v>431</v>
      </c>
      <c r="B21" s="241" t="str">
        <f>+'Output Schedule'!A30</f>
        <v>Bran</v>
      </c>
      <c r="C21" s="326">
        <f>+'Output Schedule'!L30</f>
        <v>7.0000000000000007E-2</v>
      </c>
    </row>
    <row r="22" spans="1:12" x14ac:dyDescent="0.2">
      <c r="A22" s="236" t="s">
        <v>727</v>
      </c>
      <c r="B22" s="241" t="str">
        <f>+'Output Schedule'!A31</f>
        <v>Jari</v>
      </c>
      <c r="C22" s="326">
        <f>+'Output Schedule'!L31</f>
        <v>0.05</v>
      </c>
    </row>
    <row r="23" spans="1:12" x14ac:dyDescent="0.2">
      <c r="A23" s="236"/>
      <c r="B23" s="241"/>
      <c r="C23" s="326"/>
    </row>
    <row r="24" spans="1:12" ht="15" x14ac:dyDescent="0.25">
      <c r="A24" s="168">
        <v>5</v>
      </c>
      <c r="B24" s="139" t="s">
        <v>731</v>
      </c>
    </row>
    <row r="25" spans="1:12" x14ac:dyDescent="0.2">
      <c r="A25" s="236" t="s">
        <v>329</v>
      </c>
      <c r="B25" s="241" t="str">
        <f>+'Output Schedule'!A34</f>
        <v>Rice</v>
      </c>
      <c r="C25" s="326">
        <f>+'Output Schedule'!L34</f>
        <v>0.5</v>
      </c>
    </row>
    <row r="26" spans="1:12" x14ac:dyDescent="0.2">
      <c r="A26" s="236" t="s">
        <v>330</v>
      </c>
      <c r="B26" s="241" t="str">
        <f>+'Output Schedule'!A35</f>
        <v>Husk</v>
      </c>
      <c r="C26" s="326">
        <f>+'Output Schedule'!L35</f>
        <v>0.2</v>
      </c>
    </row>
    <row r="27" spans="1:12" x14ac:dyDescent="0.2">
      <c r="A27" s="236" t="s">
        <v>331</v>
      </c>
      <c r="B27" s="241" t="str">
        <f>+'Output Schedule'!A36</f>
        <v>Broken</v>
      </c>
      <c r="C27" s="326">
        <f>+'Output Schedule'!L36</f>
        <v>0.12</v>
      </c>
    </row>
    <row r="28" spans="1:12" x14ac:dyDescent="0.2">
      <c r="A28" s="236" t="s">
        <v>431</v>
      </c>
      <c r="B28" s="241" t="str">
        <f>+'Output Schedule'!A37</f>
        <v>Bran</v>
      </c>
      <c r="C28" s="326">
        <f>+'Output Schedule'!L37</f>
        <v>0.08</v>
      </c>
    </row>
    <row r="29" spans="1:12" x14ac:dyDescent="0.2">
      <c r="A29" s="236" t="s">
        <v>727</v>
      </c>
      <c r="B29" s="241" t="str">
        <f>+'Output Schedule'!A38</f>
        <v>Jari</v>
      </c>
      <c r="C29" s="326">
        <f>+'Output Schedule'!L38</f>
        <v>0.05</v>
      </c>
    </row>
    <row r="30" spans="1:12" x14ac:dyDescent="0.2">
      <c r="A30" s="236"/>
      <c r="B30" s="241"/>
      <c r="C30" s="326"/>
    </row>
    <row r="32" spans="1:12" ht="15" x14ac:dyDescent="0.25">
      <c r="A32" s="168">
        <v>6</v>
      </c>
      <c r="B32" s="327" t="s">
        <v>376</v>
      </c>
      <c r="C32" s="240" t="s">
        <v>36</v>
      </c>
      <c r="D32" s="240" t="s">
        <v>37</v>
      </c>
      <c r="E32" s="240" t="s">
        <v>38</v>
      </c>
      <c r="F32" s="240" t="s">
        <v>39</v>
      </c>
      <c r="G32" s="240" t="s">
        <v>40</v>
      </c>
      <c r="H32" s="240" t="s">
        <v>41</v>
      </c>
      <c r="I32" s="240" t="s">
        <v>42</v>
      </c>
      <c r="J32" s="240" t="s">
        <v>494</v>
      </c>
      <c r="K32" s="240" t="s">
        <v>495</v>
      </c>
      <c r="L32" s="240" t="s">
        <v>496</v>
      </c>
    </row>
    <row r="33" spans="1:12" x14ac:dyDescent="0.2">
      <c r="B33" s="133" t="str">
        <f>'Output Schedule'!A42</f>
        <v>No of days of opertaion (JW Services)</v>
      </c>
      <c r="C33" s="133">
        <f>'Output Schedule'!B42</f>
        <v>113</v>
      </c>
      <c r="D33" s="133">
        <f>'Output Schedule'!C42</f>
        <v>124</v>
      </c>
      <c r="E33" s="133">
        <f>'Output Schedule'!D42</f>
        <v>135</v>
      </c>
      <c r="F33" s="133">
        <f>'Output Schedule'!E42</f>
        <v>146</v>
      </c>
      <c r="G33" s="133">
        <f>'Output Schedule'!F42</f>
        <v>158</v>
      </c>
      <c r="H33" s="133">
        <f>'Output Schedule'!G42</f>
        <v>169</v>
      </c>
      <c r="I33" s="133">
        <f>'Output Schedule'!H42</f>
        <v>180</v>
      </c>
      <c r="J33" s="133">
        <f>'Output Schedule'!I42</f>
        <v>191</v>
      </c>
      <c r="K33" s="133">
        <f>'Output Schedule'!J42</f>
        <v>203</v>
      </c>
      <c r="L33" s="133">
        <f>'Output Schedule'!K42</f>
        <v>214</v>
      </c>
    </row>
    <row r="34" spans="1:12" x14ac:dyDescent="0.2">
      <c r="B34" s="133" t="str">
        <f>'Output Schedule'!A43</f>
        <v>No of days of opertaion (Captive Operations)</v>
      </c>
      <c r="C34" s="133">
        <f>'Output Schedule'!B43</f>
        <v>13</v>
      </c>
      <c r="D34" s="133">
        <f>'Output Schedule'!C43</f>
        <v>14</v>
      </c>
      <c r="E34" s="133">
        <f>'Output Schedule'!D43</f>
        <v>15</v>
      </c>
      <c r="F34" s="133">
        <f>'Output Schedule'!E43</f>
        <v>16</v>
      </c>
      <c r="G34" s="133">
        <f>'Output Schedule'!F43</f>
        <v>18</v>
      </c>
      <c r="H34" s="133">
        <f>'Output Schedule'!G43</f>
        <v>19</v>
      </c>
      <c r="I34" s="133">
        <f>'Output Schedule'!H43</f>
        <v>20</v>
      </c>
      <c r="J34" s="133">
        <f>'Output Schedule'!I43</f>
        <v>21</v>
      </c>
      <c r="K34" s="133">
        <f>'Output Schedule'!J43</f>
        <v>23</v>
      </c>
      <c r="L34" s="133">
        <f>'Output Schedule'!K43</f>
        <v>24</v>
      </c>
    </row>
    <row r="36" spans="1:12" ht="15" x14ac:dyDescent="0.25">
      <c r="B36" s="139" t="str">
        <f>'Output Schedule'!A45</f>
        <v>Total Working days of the Facilty</v>
      </c>
      <c r="C36" s="139">
        <f>'Output Schedule'!B45</f>
        <v>126</v>
      </c>
      <c r="D36" s="139">
        <f>'Output Schedule'!C45</f>
        <v>138</v>
      </c>
      <c r="E36" s="139">
        <f>'Output Schedule'!D45</f>
        <v>150</v>
      </c>
      <c r="F36" s="139">
        <f>'Output Schedule'!E45</f>
        <v>162</v>
      </c>
      <c r="G36" s="139">
        <f>'Output Schedule'!F45</f>
        <v>176</v>
      </c>
      <c r="H36" s="139">
        <f>'Output Schedule'!G45</f>
        <v>188</v>
      </c>
      <c r="I36" s="139">
        <f>'Output Schedule'!H45</f>
        <v>200</v>
      </c>
      <c r="J36" s="139">
        <f>'Output Schedule'!I45</f>
        <v>212</v>
      </c>
      <c r="K36" s="139">
        <f>'Output Schedule'!J45</f>
        <v>226</v>
      </c>
      <c r="L36" s="139">
        <f>'Output Schedule'!K45</f>
        <v>238</v>
      </c>
    </row>
    <row r="38" spans="1:12" x14ac:dyDescent="0.2">
      <c r="A38" s="237">
        <v>7</v>
      </c>
      <c r="B38" s="133" t="s">
        <v>377</v>
      </c>
      <c r="C38" s="133" t="s">
        <v>378</v>
      </c>
    </row>
    <row r="39" spans="1:12" x14ac:dyDescent="0.2">
      <c r="A39" s="237">
        <v>8</v>
      </c>
      <c r="B39" s="133" t="s">
        <v>379</v>
      </c>
      <c r="C39" s="133" t="s">
        <v>378</v>
      </c>
    </row>
    <row r="40" spans="1:12" hidden="1" x14ac:dyDescent="0.2">
      <c r="A40" s="237">
        <v>9</v>
      </c>
      <c r="B40" s="133" t="s">
        <v>456</v>
      </c>
      <c r="C40" s="133" t="s">
        <v>464</v>
      </c>
    </row>
    <row r="42" spans="1:12" ht="15" x14ac:dyDescent="0.25">
      <c r="A42" s="237">
        <v>9</v>
      </c>
      <c r="B42" s="139" t="s">
        <v>380</v>
      </c>
      <c r="C42" s="240" t="s">
        <v>36</v>
      </c>
      <c r="D42" s="240" t="s">
        <v>37</v>
      </c>
      <c r="E42" s="240" t="s">
        <v>38</v>
      </c>
      <c r="F42" s="240" t="s">
        <v>39</v>
      </c>
      <c r="G42" s="240" t="s">
        <v>40</v>
      </c>
      <c r="H42" s="240" t="s">
        <v>41</v>
      </c>
      <c r="I42" s="240" t="s">
        <v>42</v>
      </c>
      <c r="J42" s="240" t="s">
        <v>494</v>
      </c>
      <c r="K42" s="240" t="s">
        <v>495</v>
      </c>
      <c r="L42" s="240" t="s">
        <v>496</v>
      </c>
    </row>
    <row r="43" spans="1:12" x14ac:dyDescent="0.2">
      <c r="B43" s="133" t="s">
        <v>732</v>
      </c>
      <c r="C43" s="215">
        <f>'Purchase Schedule'!B4</f>
        <v>19000</v>
      </c>
      <c r="D43" s="215">
        <f>'Purchase Schedule'!C4</f>
        <v>19950</v>
      </c>
      <c r="E43" s="215">
        <f>'Purchase Schedule'!D4</f>
        <v>20950</v>
      </c>
      <c r="F43" s="215">
        <f>'Purchase Schedule'!E4</f>
        <v>22000</v>
      </c>
      <c r="G43" s="215">
        <f>'Purchase Schedule'!F4</f>
        <v>23100</v>
      </c>
      <c r="H43" s="215">
        <f>'Purchase Schedule'!G4</f>
        <v>24260</v>
      </c>
      <c r="I43" s="215">
        <f>'Purchase Schedule'!H4</f>
        <v>25470</v>
      </c>
      <c r="J43" s="215">
        <f>'Purchase Schedule'!I4</f>
        <v>26740</v>
      </c>
      <c r="K43" s="215">
        <f>'Purchase Schedule'!J4</f>
        <v>28080</v>
      </c>
      <c r="L43" s="215">
        <f>'Purchase Schedule'!K4</f>
        <v>29480</v>
      </c>
    </row>
    <row r="44" spans="1:12" x14ac:dyDescent="0.2">
      <c r="B44" s="133" t="s">
        <v>734</v>
      </c>
      <c r="C44" s="215">
        <f>+'Purchase Schedule'!B7</f>
        <v>23000</v>
      </c>
      <c r="D44" s="215">
        <f>+'Purchase Schedule'!C7</f>
        <v>24150</v>
      </c>
      <c r="E44" s="215">
        <f>+'Purchase Schedule'!D7</f>
        <v>25360</v>
      </c>
      <c r="F44" s="215">
        <f>+'Purchase Schedule'!E7</f>
        <v>26630</v>
      </c>
      <c r="G44" s="215">
        <f>+'Purchase Schedule'!F7</f>
        <v>27960</v>
      </c>
      <c r="H44" s="215">
        <f>+'Purchase Schedule'!G7</f>
        <v>29360</v>
      </c>
      <c r="I44" s="215">
        <f>+'Purchase Schedule'!H7</f>
        <v>30830</v>
      </c>
      <c r="J44" s="215">
        <f>+'Purchase Schedule'!I7</f>
        <v>32370</v>
      </c>
      <c r="K44" s="215">
        <f>+'Purchase Schedule'!J7</f>
        <v>33990</v>
      </c>
      <c r="L44" s="215">
        <f>+'Purchase Schedule'!K7</f>
        <v>35690</v>
      </c>
    </row>
    <row r="45" spans="1:12" ht="15" hidden="1" x14ac:dyDescent="0.25">
      <c r="C45" s="240" t="s">
        <v>36</v>
      </c>
      <c r="D45" s="240" t="s">
        <v>37</v>
      </c>
      <c r="E45" s="240" t="s">
        <v>38</v>
      </c>
      <c r="F45" s="240" t="s">
        <v>39</v>
      </c>
      <c r="G45" s="240" t="s">
        <v>40</v>
      </c>
      <c r="H45" s="240" t="s">
        <v>41</v>
      </c>
      <c r="I45" s="240" t="s">
        <v>42</v>
      </c>
    </row>
    <row r="46" spans="1:12" hidden="1" x14ac:dyDescent="0.2">
      <c r="A46" s="237">
        <v>11</v>
      </c>
      <c r="B46" s="133" t="s">
        <v>458</v>
      </c>
      <c r="C46" s="215">
        <f>'Production Level Support'!B3</f>
        <v>0</v>
      </c>
      <c r="D46" s="215">
        <f>'Production Level Support'!C3</f>
        <v>0</v>
      </c>
      <c r="E46" s="215">
        <f>'Production Level Support'!D3</f>
        <v>0</v>
      </c>
      <c r="F46" s="215">
        <f>'Production Level Support'!E3</f>
        <v>0</v>
      </c>
      <c r="G46" s="215">
        <f>'Production Level Support'!F3</f>
        <v>0</v>
      </c>
      <c r="H46" s="215">
        <f>'Production Level Support'!G3</f>
        <v>0</v>
      </c>
      <c r="I46" s="215">
        <f>'Production Level Support'!H3</f>
        <v>0</v>
      </c>
    </row>
    <row r="47" spans="1:12" hidden="1" x14ac:dyDescent="0.2">
      <c r="C47" s="215"/>
      <c r="D47" s="215"/>
      <c r="E47" s="215"/>
      <c r="F47" s="215"/>
      <c r="G47" s="215"/>
      <c r="H47" s="215"/>
      <c r="I47" s="215"/>
    </row>
    <row r="48" spans="1:12" ht="15" hidden="1" x14ac:dyDescent="0.25">
      <c r="C48" s="240" t="s">
        <v>36</v>
      </c>
      <c r="D48" s="240" t="s">
        <v>37</v>
      </c>
      <c r="E48" s="240" t="s">
        <v>38</v>
      </c>
      <c r="F48" s="240" t="s">
        <v>39</v>
      </c>
      <c r="G48" s="240" t="s">
        <v>40</v>
      </c>
      <c r="H48" s="240" t="s">
        <v>41</v>
      </c>
      <c r="I48" s="240" t="s">
        <v>42</v>
      </c>
    </row>
    <row r="49" spans="1:12" hidden="1" x14ac:dyDescent="0.2">
      <c r="A49" s="237">
        <v>12</v>
      </c>
      <c r="B49" s="133" t="s">
        <v>461</v>
      </c>
      <c r="C49" s="239">
        <v>0.85</v>
      </c>
      <c r="D49" s="239">
        <v>0.85</v>
      </c>
      <c r="E49" s="239">
        <v>0.85</v>
      </c>
      <c r="F49" s="239">
        <v>0.85</v>
      </c>
      <c r="G49" s="239">
        <v>0.85</v>
      </c>
      <c r="H49" s="239">
        <v>0.85</v>
      </c>
      <c r="I49" s="239">
        <v>0.85</v>
      </c>
    </row>
    <row r="50" spans="1:12" x14ac:dyDescent="0.2">
      <c r="C50" s="215"/>
      <c r="D50" s="215"/>
      <c r="E50" s="215"/>
      <c r="F50" s="215"/>
      <c r="G50" s="215"/>
      <c r="H50" s="215"/>
      <c r="I50" s="215"/>
    </row>
    <row r="51" spans="1:12" ht="15" x14ac:dyDescent="0.25">
      <c r="A51" s="237">
        <v>10</v>
      </c>
      <c r="B51" s="139" t="s">
        <v>459</v>
      </c>
      <c r="C51" s="240" t="s">
        <v>36</v>
      </c>
      <c r="D51" s="240" t="s">
        <v>37</v>
      </c>
      <c r="E51" s="240" t="s">
        <v>38</v>
      </c>
      <c r="F51" s="240" t="s">
        <v>39</v>
      </c>
      <c r="G51" s="240" t="s">
        <v>40</v>
      </c>
      <c r="H51" s="240" t="s">
        <v>41</v>
      </c>
      <c r="I51" s="240" t="s">
        <v>42</v>
      </c>
      <c r="J51" s="240" t="s">
        <v>494</v>
      </c>
      <c r="K51" s="240" t="s">
        <v>495</v>
      </c>
      <c r="L51" s="240" t="s">
        <v>496</v>
      </c>
    </row>
    <row r="52" spans="1:12" x14ac:dyDescent="0.2">
      <c r="B52" s="133" t="s">
        <v>735</v>
      </c>
      <c r="C52" s="215">
        <f>'Output Schedule'!B13</f>
        <v>1200</v>
      </c>
      <c r="D52" s="215">
        <f>'Output Schedule'!C13</f>
        <v>1260</v>
      </c>
      <c r="E52" s="215">
        <f>'Output Schedule'!D13</f>
        <v>1323</v>
      </c>
      <c r="F52" s="215">
        <f>'Output Schedule'!E13</f>
        <v>1389</v>
      </c>
      <c r="G52" s="215">
        <f>'Output Schedule'!F13</f>
        <v>1458</v>
      </c>
      <c r="H52" s="215">
        <f>'Output Schedule'!G13</f>
        <v>1531</v>
      </c>
      <c r="I52" s="215">
        <f>'Output Schedule'!H13</f>
        <v>1608</v>
      </c>
      <c r="J52" s="215">
        <f>'Output Schedule'!I13</f>
        <v>1688</v>
      </c>
      <c r="K52" s="215">
        <f>'Output Schedule'!J13</f>
        <v>1772</v>
      </c>
      <c r="L52" s="215">
        <f>'Output Schedule'!K13</f>
        <v>1861</v>
      </c>
    </row>
    <row r="53" spans="1:12" hidden="1" x14ac:dyDescent="0.2">
      <c r="A53" s="237" t="s">
        <v>330</v>
      </c>
      <c r="B53" s="133" t="s">
        <v>460</v>
      </c>
      <c r="C53" s="215"/>
      <c r="D53" s="215"/>
      <c r="E53" s="215"/>
      <c r="F53" s="215"/>
      <c r="G53" s="215"/>
      <c r="H53" s="215"/>
      <c r="I53" s="215"/>
    </row>
    <row r="54" spans="1:12" hidden="1" x14ac:dyDescent="0.2">
      <c r="B54" s="328" t="s">
        <v>462</v>
      </c>
      <c r="C54" s="215">
        <f>'Farm Implement Business'!E5</f>
        <v>1500</v>
      </c>
      <c r="D54" s="215"/>
      <c r="E54" s="215"/>
      <c r="F54" s="215"/>
      <c r="G54" s="215"/>
      <c r="H54" s="215"/>
      <c r="I54" s="215"/>
    </row>
    <row r="55" spans="1:12" hidden="1" x14ac:dyDescent="0.2">
      <c r="B55" s="328" t="s">
        <v>463</v>
      </c>
      <c r="C55" s="215">
        <f>'Farm Implement Business'!E6</f>
        <v>1000</v>
      </c>
      <c r="D55" s="215"/>
      <c r="E55" s="215"/>
      <c r="F55" s="215"/>
      <c r="G55" s="215"/>
      <c r="H55" s="215"/>
      <c r="I55" s="215"/>
    </row>
    <row r="57" spans="1:12" ht="15" x14ac:dyDescent="0.25">
      <c r="A57" s="237">
        <v>11</v>
      </c>
      <c r="B57" s="139" t="s">
        <v>381</v>
      </c>
      <c r="C57" s="133" t="s">
        <v>382</v>
      </c>
    </row>
    <row r="59" spans="1:12" ht="15" x14ac:dyDescent="0.25">
      <c r="A59" s="237">
        <v>12</v>
      </c>
      <c r="B59" s="139" t="s">
        <v>383</v>
      </c>
      <c r="C59" s="240" t="s">
        <v>36</v>
      </c>
      <c r="D59" s="240" t="s">
        <v>37</v>
      </c>
      <c r="E59" s="240" t="s">
        <v>38</v>
      </c>
      <c r="F59" s="240" t="s">
        <v>39</v>
      </c>
      <c r="G59" s="240" t="s">
        <v>40</v>
      </c>
      <c r="H59" s="240" t="s">
        <v>41</v>
      </c>
      <c r="I59" s="240" t="s">
        <v>42</v>
      </c>
      <c r="J59" s="240" t="s">
        <v>494</v>
      </c>
      <c r="K59" s="240" t="s">
        <v>495</v>
      </c>
      <c r="L59" s="240" t="s">
        <v>496</v>
      </c>
    </row>
    <row r="60" spans="1:12" ht="15" x14ac:dyDescent="0.25">
      <c r="B60" s="139" t="s">
        <v>738</v>
      </c>
      <c r="C60" s="240"/>
      <c r="D60" s="240"/>
      <c r="E60" s="240"/>
      <c r="F60" s="240"/>
      <c r="G60" s="240"/>
      <c r="H60" s="240"/>
      <c r="I60" s="240"/>
      <c r="J60" s="240"/>
      <c r="K60" s="240"/>
      <c r="L60" s="240"/>
    </row>
    <row r="61" spans="1:12" x14ac:dyDescent="0.2">
      <c r="A61" s="236" t="s">
        <v>329</v>
      </c>
      <c r="B61" s="133" t="str">
        <f>'CS-FG'!B35</f>
        <v>Rice</v>
      </c>
      <c r="C61" s="215">
        <f>'CS-FG'!C35</f>
        <v>27000</v>
      </c>
      <c r="D61" s="215">
        <f>'CS-FG'!D35</f>
        <v>28350</v>
      </c>
      <c r="E61" s="215">
        <f>'CS-FG'!E35</f>
        <v>29770</v>
      </c>
      <c r="F61" s="215">
        <f>'CS-FG'!F35</f>
        <v>31260</v>
      </c>
      <c r="G61" s="215">
        <f>'CS-FG'!G35</f>
        <v>32820</v>
      </c>
      <c r="H61" s="215">
        <f>'CS-FG'!H35</f>
        <v>34460</v>
      </c>
      <c r="I61" s="215">
        <f>'CS-FG'!I35</f>
        <v>36180</v>
      </c>
      <c r="J61" s="215">
        <f>'CS-FG'!J35</f>
        <v>37990</v>
      </c>
      <c r="K61" s="215">
        <f>'CS-FG'!K35</f>
        <v>39890</v>
      </c>
      <c r="L61" s="215">
        <f>'CS-FG'!L35</f>
        <v>41880</v>
      </c>
    </row>
    <row r="62" spans="1:12" x14ac:dyDescent="0.2">
      <c r="A62" s="236" t="s">
        <v>330</v>
      </c>
      <c r="B62" s="133" t="str">
        <f>'CS-FG'!B36</f>
        <v>Husk</v>
      </c>
      <c r="C62" s="215">
        <f>'CS-FG'!C36</f>
        <v>2000</v>
      </c>
      <c r="D62" s="215">
        <f>'CS-FG'!D36</f>
        <v>2100</v>
      </c>
      <c r="E62" s="215">
        <f>'CS-FG'!E36</f>
        <v>2210</v>
      </c>
      <c r="F62" s="215">
        <f>'CS-FG'!F36</f>
        <v>2320</v>
      </c>
      <c r="G62" s="215">
        <f>'CS-FG'!G36</f>
        <v>2440</v>
      </c>
      <c r="H62" s="215">
        <f>'CS-FG'!H36</f>
        <v>2560</v>
      </c>
      <c r="I62" s="215">
        <f>'CS-FG'!I36</f>
        <v>2690</v>
      </c>
      <c r="J62" s="215">
        <f>'CS-FG'!J36</f>
        <v>2820</v>
      </c>
      <c r="K62" s="215">
        <f>'CS-FG'!K36</f>
        <v>2960</v>
      </c>
      <c r="L62" s="215">
        <f>'CS-FG'!L36</f>
        <v>3110</v>
      </c>
    </row>
    <row r="63" spans="1:12" x14ac:dyDescent="0.2">
      <c r="A63" s="236" t="s">
        <v>331</v>
      </c>
      <c r="B63" s="133" t="str">
        <f>'CS-FG'!B37</f>
        <v>Broken</v>
      </c>
      <c r="C63" s="215">
        <f>'CS-FG'!C37</f>
        <v>18000</v>
      </c>
      <c r="D63" s="215">
        <f>'CS-FG'!D37</f>
        <v>18900</v>
      </c>
      <c r="E63" s="215">
        <f>'CS-FG'!E37</f>
        <v>19850</v>
      </c>
      <c r="F63" s="215">
        <f>'CS-FG'!F37</f>
        <v>20840</v>
      </c>
      <c r="G63" s="215">
        <f>'CS-FG'!G37</f>
        <v>21880</v>
      </c>
      <c r="H63" s="215">
        <f>'CS-FG'!H37</f>
        <v>22970</v>
      </c>
      <c r="I63" s="215">
        <f>'CS-FG'!I37</f>
        <v>24120</v>
      </c>
      <c r="J63" s="215">
        <f>'CS-FG'!J37</f>
        <v>25330</v>
      </c>
      <c r="K63" s="215">
        <f>'CS-FG'!K37</f>
        <v>26600</v>
      </c>
      <c r="L63" s="215">
        <f>'CS-FG'!L37</f>
        <v>27930</v>
      </c>
    </row>
    <row r="64" spans="1:12" x14ac:dyDescent="0.2">
      <c r="A64" s="236" t="s">
        <v>431</v>
      </c>
      <c r="B64" s="133" t="str">
        <f>'CS-FG'!B38</f>
        <v>Bran</v>
      </c>
      <c r="C64" s="215">
        <f>'CS-FG'!C38</f>
        <v>12000</v>
      </c>
      <c r="D64" s="215">
        <f>'CS-FG'!D38</f>
        <v>12600</v>
      </c>
      <c r="E64" s="215">
        <f>'CS-FG'!E38</f>
        <v>13230</v>
      </c>
      <c r="F64" s="215">
        <f>'CS-FG'!F38</f>
        <v>13890</v>
      </c>
      <c r="G64" s="215">
        <f>'CS-FG'!G38</f>
        <v>14580</v>
      </c>
      <c r="H64" s="215">
        <f>'CS-FG'!H38</f>
        <v>15310</v>
      </c>
      <c r="I64" s="215">
        <f>'CS-FG'!I38</f>
        <v>16080</v>
      </c>
      <c r="J64" s="215">
        <f>'CS-FG'!J38</f>
        <v>16880</v>
      </c>
      <c r="K64" s="215">
        <f>'CS-FG'!K38</f>
        <v>17720</v>
      </c>
      <c r="L64" s="215">
        <f>'CS-FG'!L38</f>
        <v>18610</v>
      </c>
    </row>
    <row r="65" spans="1:12" x14ac:dyDescent="0.2">
      <c r="A65" s="236" t="s">
        <v>727</v>
      </c>
      <c r="B65" s="133" t="str">
        <f>'CS-FG'!B39</f>
        <v>Jari</v>
      </c>
      <c r="C65" s="215">
        <f>'CS-FG'!C39</f>
        <v>12000</v>
      </c>
      <c r="D65" s="215">
        <f>'CS-FG'!D39</f>
        <v>12600</v>
      </c>
      <c r="E65" s="215">
        <f>'CS-FG'!E39</f>
        <v>13230</v>
      </c>
      <c r="F65" s="215">
        <f>'CS-FG'!F39</f>
        <v>13890</v>
      </c>
      <c r="G65" s="215">
        <f>'CS-FG'!G39</f>
        <v>14580</v>
      </c>
      <c r="H65" s="215">
        <f>'CS-FG'!H39</f>
        <v>15310</v>
      </c>
      <c r="I65" s="215">
        <f>'CS-FG'!I39</f>
        <v>16080</v>
      </c>
      <c r="J65" s="215">
        <f>'CS-FG'!J39</f>
        <v>16880</v>
      </c>
      <c r="K65" s="215">
        <f>'CS-FG'!K39</f>
        <v>17720</v>
      </c>
      <c r="L65" s="215">
        <f>'CS-FG'!L39</f>
        <v>18610</v>
      </c>
    </row>
    <row r="66" spans="1:12" x14ac:dyDescent="0.2">
      <c r="A66" s="236"/>
      <c r="C66" s="215"/>
      <c r="D66" s="215"/>
      <c r="E66" s="215"/>
      <c r="F66" s="215"/>
      <c r="G66" s="215"/>
      <c r="H66" s="215"/>
      <c r="I66" s="215"/>
      <c r="J66" s="215"/>
      <c r="K66" s="215"/>
      <c r="L66" s="215"/>
    </row>
    <row r="67" spans="1:12" ht="15" x14ac:dyDescent="0.25">
      <c r="A67" s="236"/>
      <c r="B67" s="139" t="s">
        <v>733</v>
      </c>
      <c r="C67" s="215"/>
      <c r="D67" s="215"/>
      <c r="E67" s="215"/>
      <c r="F67" s="215"/>
      <c r="G67" s="215"/>
      <c r="H67" s="215"/>
      <c r="I67" s="215"/>
      <c r="J67" s="215"/>
      <c r="K67" s="215"/>
      <c r="L67" s="215"/>
    </row>
    <row r="68" spans="1:12" x14ac:dyDescent="0.2">
      <c r="A68" s="236" t="s">
        <v>329</v>
      </c>
      <c r="B68" s="133" t="str">
        <f>+'CS-FG'!B93</f>
        <v>Rice</v>
      </c>
      <c r="C68" s="133">
        <f>+'CS-FG'!C93</f>
        <v>45000</v>
      </c>
      <c r="D68" s="133">
        <f>+'CS-FG'!D93</f>
        <v>47250</v>
      </c>
      <c r="E68" s="133">
        <f>+'CS-FG'!E93</f>
        <v>49610</v>
      </c>
      <c r="F68" s="133">
        <f>+'CS-FG'!F93</f>
        <v>52090</v>
      </c>
      <c r="G68" s="133">
        <f>+'CS-FG'!G93</f>
        <v>54690</v>
      </c>
      <c r="H68" s="133">
        <f>+'CS-FG'!H93</f>
        <v>57420</v>
      </c>
      <c r="I68" s="133">
        <f>+'CS-FG'!I93</f>
        <v>60290</v>
      </c>
      <c r="J68" s="133">
        <f>+'CS-FG'!J93</f>
        <v>63300</v>
      </c>
      <c r="K68" s="133">
        <f>+'CS-FG'!K93</f>
        <v>66470</v>
      </c>
      <c r="L68" s="133">
        <f>+'CS-FG'!L93</f>
        <v>69790</v>
      </c>
    </row>
    <row r="69" spans="1:12" x14ac:dyDescent="0.2">
      <c r="A69" s="236" t="s">
        <v>330</v>
      </c>
      <c r="B69" s="133" t="str">
        <f>+'CS-FG'!B94</f>
        <v>Husk</v>
      </c>
      <c r="C69" s="133">
        <f>+'CS-FG'!C94</f>
        <v>2000</v>
      </c>
      <c r="D69" s="133">
        <f>+'CS-FG'!D94</f>
        <v>2100</v>
      </c>
      <c r="E69" s="133">
        <f>+'CS-FG'!E94</f>
        <v>2210</v>
      </c>
      <c r="F69" s="133">
        <f>+'CS-FG'!F94</f>
        <v>2320</v>
      </c>
      <c r="G69" s="133">
        <f>+'CS-FG'!G94</f>
        <v>2440</v>
      </c>
      <c r="H69" s="133">
        <f>+'CS-FG'!H94</f>
        <v>2560</v>
      </c>
      <c r="I69" s="133">
        <f>+'CS-FG'!I94</f>
        <v>2690</v>
      </c>
      <c r="J69" s="133">
        <f>+'CS-FG'!J94</f>
        <v>2820</v>
      </c>
      <c r="K69" s="133">
        <f>+'CS-FG'!K94</f>
        <v>2960</v>
      </c>
      <c r="L69" s="133">
        <f>+'CS-FG'!L94</f>
        <v>3110</v>
      </c>
    </row>
    <row r="70" spans="1:12" x14ac:dyDescent="0.2">
      <c r="A70" s="236" t="s">
        <v>331</v>
      </c>
      <c r="B70" s="133" t="str">
        <f>+'CS-FG'!B95</f>
        <v>Broken</v>
      </c>
      <c r="C70" s="133">
        <f>+'CS-FG'!C95</f>
        <v>22000</v>
      </c>
      <c r="D70" s="133">
        <f>+'CS-FG'!D95</f>
        <v>23100</v>
      </c>
      <c r="E70" s="133">
        <f>+'CS-FG'!E95</f>
        <v>24260</v>
      </c>
      <c r="F70" s="133">
        <f>+'CS-FG'!F95</f>
        <v>25470</v>
      </c>
      <c r="G70" s="133">
        <f>+'CS-FG'!G95</f>
        <v>26740</v>
      </c>
      <c r="H70" s="133">
        <f>+'CS-FG'!H95</f>
        <v>28080</v>
      </c>
      <c r="I70" s="133">
        <f>+'CS-FG'!I95</f>
        <v>29480</v>
      </c>
      <c r="J70" s="133">
        <f>+'CS-FG'!J95</f>
        <v>30950</v>
      </c>
      <c r="K70" s="133">
        <f>+'CS-FG'!K95</f>
        <v>32500</v>
      </c>
      <c r="L70" s="133">
        <f>+'CS-FG'!L95</f>
        <v>34130</v>
      </c>
    </row>
    <row r="71" spans="1:12" x14ac:dyDescent="0.2">
      <c r="A71" s="236" t="s">
        <v>431</v>
      </c>
      <c r="B71" s="133" t="str">
        <f>+'CS-FG'!B96</f>
        <v>Bran</v>
      </c>
      <c r="C71" s="133">
        <f>+'CS-FG'!C96</f>
        <v>12000</v>
      </c>
      <c r="D71" s="133">
        <f>+'CS-FG'!D96</f>
        <v>12600</v>
      </c>
      <c r="E71" s="133">
        <f>+'CS-FG'!E96</f>
        <v>13230</v>
      </c>
      <c r="F71" s="133">
        <f>+'CS-FG'!F96</f>
        <v>13890</v>
      </c>
      <c r="G71" s="133">
        <f>+'CS-FG'!G96</f>
        <v>14580</v>
      </c>
      <c r="H71" s="133">
        <f>+'CS-FG'!H96</f>
        <v>15310</v>
      </c>
      <c r="I71" s="133">
        <f>+'CS-FG'!I96</f>
        <v>16080</v>
      </c>
      <c r="J71" s="133">
        <f>+'CS-FG'!J96</f>
        <v>16880</v>
      </c>
      <c r="K71" s="133">
        <f>+'CS-FG'!K96</f>
        <v>17720</v>
      </c>
      <c r="L71" s="133">
        <f>+'CS-FG'!L96</f>
        <v>18610</v>
      </c>
    </row>
    <row r="72" spans="1:12" x14ac:dyDescent="0.2">
      <c r="A72" s="236" t="s">
        <v>727</v>
      </c>
      <c r="B72" s="133" t="str">
        <f>+'CS-FG'!B97</f>
        <v>Jari</v>
      </c>
      <c r="C72" s="133">
        <f>+'CS-FG'!C97</f>
        <v>12000</v>
      </c>
      <c r="D72" s="133">
        <f>+'CS-FG'!D97</f>
        <v>12600</v>
      </c>
      <c r="E72" s="133">
        <f>+'CS-FG'!E97</f>
        <v>13230</v>
      </c>
      <c r="F72" s="133">
        <f>+'CS-FG'!F97</f>
        <v>13890</v>
      </c>
      <c r="G72" s="133">
        <f>+'CS-FG'!G97</f>
        <v>14580</v>
      </c>
      <c r="H72" s="133">
        <f>+'CS-FG'!H97</f>
        <v>15310</v>
      </c>
      <c r="I72" s="133">
        <f>+'CS-FG'!I97</f>
        <v>16080</v>
      </c>
      <c r="J72" s="133">
        <f>+'CS-FG'!J97</f>
        <v>16880</v>
      </c>
      <c r="K72" s="133">
        <f>+'CS-FG'!K97</f>
        <v>17720</v>
      </c>
      <c r="L72" s="133">
        <f>+'CS-FG'!L97</f>
        <v>18610</v>
      </c>
    </row>
    <row r="73" spans="1:12" x14ac:dyDescent="0.2">
      <c r="A73" s="236"/>
      <c r="C73" s="215"/>
      <c r="D73" s="215"/>
      <c r="E73" s="215"/>
      <c r="F73" s="215"/>
      <c r="G73" s="215"/>
      <c r="H73" s="215"/>
      <c r="I73" s="215"/>
      <c r="J73" s="215"/>
      <c r="K73" s="215"/>
      <c r="L73" s="215"/>
    </row>
    <row r="74" spans="1:12" hidden="1" x14ac:dyDescent="0.2"/>
    <row r="75" spans="1:12" ht="15" hidden="1" x14ac:dyDescent="0.25">
      <c r="A75" s="237">
        <v>13</v>
      </c>
      <c r="B75" s="139" t="s">
        <v>384</v>
      </c>
      <c r="C75" s="239">
        <v>0.09</v>
      </c>
    </row>
    <row r="76" spans="1:12" hidden="1" x14ac:dyDescent="0.2"/>
    <row r="77" spans="1:12" ht="15" hidden="1" x14ac:dyDescent="0.25">
      <c r="A77" s="237">
        <v>14</v>
      </c>
      <c r="B77" s="139" t="s">
        <v>385</v>
      </c>
      <c r="C77" s="133" t="s">
        <v>386</v>
      </c>
    </row>
    <row r="79" spans="1:12" ht="15" x14ac:dyDescent="0.25">
      <c r="A79" s="237">
        <v>13</v>
      </c>
      <c r="B79" s="139" t="s">
        <v>387</v>
      </c>
      <c r="C79" s="238">
        <v>0.3</v>
      </c>
    </row>
    <row r="81" spans="1:3" ht="15" x14ac:dyDescent="0.25">
      <c r="A81" s="237">
        <v>14</v>
      </c>
      <c r="B81" s="139" t="s">
        <v>388</v>
      </c>
      <c r="C81" s="133" t="s">
        <v>389</v>
      </c>
    </row>
    <row r="83" spans="1:3" ht="15" x14ac:dyDescent="0.25">
      <c r="A83" s="237">
        <v>15</v>
      </c>
      <c r="B83" s="139" t="s">
        <v>390</v>
      </c>
      <c r="C83" s="133" t="s">
        <v>389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view="pageBreakPreview" zoomScale="90" zoomScaleNormal="100" zoomScaleSheetLayoutView="90" workbookViewId="0">
      <selection activeCell="C5" sqref="A1:XFD1048576"/>
    </sheetView>
  </sheetViews>
  <sheetFormatPr defaultRowHeight="14.25" x14ac:dyDescent="0.2"/>
  <cols>
    <col min="1" max="1" width="22.85546875" style="133" customWidth="1"/>
    <col min="2" max="16384" width="9.140625" style="133"/>
  </cols>
  <sheetData>
    <row r="3" spans="1:11" ht="15" x14ac:dyDescent="0.25">
      <c r="A3" s="381" t="s">
        <v>288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</row>
    <row r="4" spans="1:11" ht="15" x14ac:dyDescent="0.2">
      <c r="A4" s="192" t="s">
        <v>1</v>
      </c>
      <c r="B4" s="192" t="s">
        <v>36</v>
      </c>
      <c r="C4" s="192" t="s">
        <v>37</v>
      </c>
      <c r="D4" s="192" t="s">
        <v>38</v>
      </c>
      <c r="E4" s="192" t="s">
        <v>39</v>
      </c>
      <c r="F4" s="192" t="s">
        <v>40</v>
      </c>
      <c r="G4" s="192" t="s">
        <v>41</v>
      </c>
      <c r="H4" s="192" t="s">
        <v>42</v>
      </c>
      <c r="I4" s="192" t="s">
        <v>494</v>
      </c>
      <c r="J4" s="192" t="s">
        <v>495</v>
      </c>
      <c r="K4" s="192" t="s">
        <v>496</v>
      </c>
    </row>
    <row r="5" spans="1:11" x14ac:dyDescent="0.2">
      <c r="A5" s="116" t="s">
        <v>289</v>
      </c>
      <c r="B5" s="124">
        <f>'P&amp;L'!B34</f>
        <v>11.830354000000007</v>
      </c>
      <c r="C5" s="124">
        <f>'P&amp;L'!C34</f>
        <v>18.59644291874999</v>
      </c>
      <c r="D5" s="124">
        <f>'P&amp;L'!D34</f>
        <v>25.461963177187481</v>
      </c>
      <c r="E5" s="124">
        <f>'P&amp;L'!E34</f>
        <v>33.529473654796902</v>
      </c>
      <c r="F5" s="124">
        <f>'P&amp;L'!F34</f>
        <v>41.846664368786747</v>
      </c>
      <c r="G5" s="124">
        <f>'P&amp;L'!G34</f>
        <v>51.826860049726079</v>
      </c>
      <c r="H5" s="124">
        <f>'P&amp;L'!H34</f>
        <v>62.191367161587465</v>
      </c>
      <c r="I5" s="124">
        <f>'P&amp;L'!I34</f>
        <v>75.176127413416751</v>
      </c>
      <c r="J5" s="124">
        <f>'P&amp;L'!J34</f>
        <v>87.856929059087591</v>
      </c>
      <c r="K5" s="124">
        <f>'P&amp;L'!K34</f>
        <v>103.10848059329193</v>
      </c>
    </row>
    <row r="6" spans="1:11" ht="28.5" x14ac:dyDescent="0.2">
      <c r="A6" s="123" t="s">
        <v>290</v>
      </c>
      <c r="B6" s="124">
        <f>'P&amp;L'!B32</f>
        <v>9.4711239999999997</v>
      </c>
      <c r="C6" s="124">
        <f>'P&amp;L'!C32</f>
        <v>9.4711239999999997</v>
      </c>
      <c r="D6" s="124">
        <f>'P&amp;L'!D32</f>
        <v>9.4711239999999997</v>
      </c>
      <c r="E6" s="124">
        <f>'P&amp;L'!E32</f>
        <v>9.4711239999999997</v>
      </c>
      <c r="F6" s="124">
        <f>'P&amp;L'!F32</f>
        <v>9.4711239999999997</v>
      </c>
      <c r="G6" s="124">
        <f>'P&amp;L'!G32</f>
        <v>9.4711239999999997</v>
      </c>
      <c r="H6" s="124">
        <f>'P&amp;L'!H32</f>
        <v>9.4711239999999997</v>
      </c>
      <c r="I6" s="124">
        <f>'P&amp;L'!I32</f>
        <v>9.4711239999999997</v>
      </c>
      <c r="J6" s="124">
        <f>'P&amp;L'!J32</f>
        <v>9.4711239999999997</v>
      </c>
      <c r="K6" s="124">
        <f>'P&amp;L'!K32</f>
        <v>9.4711239999999997</v>
      </c>
    </row>
    <row r="7" spans="1:11" ht="28.5" x14ac:dyDescent="0.2">
      <c r="A7" s="123" t="s">
        <v>291</v>
      </c>
      <c r="B7" s="124">
        <f>Depn!P20</f>
        <v>24.737000000000002</v>
      </c>
      <c r="C7" s="124">
        <f>Depn!Q20</f>
        <v>21.487349999999999</v>
      </c>
      <c r="D7" s="124">
        <f>Depn!R20</f>
        <v>18.679057499999999</v>
      </c>
      <c r="E7" s="124">
        <f>Depn!S20</f>
        <v>16.250527875000003</v>
      </c>
      <c r="F7" s="124">
        <f>Depn!T20</f>
        <v>14.148944793750001</v>
      </c>
      <c r="G7" s="124">
        <f>Depn!U20</f>
        <v>12.328999564687502</v>
      </c>
      <c r="H7" s="124">
        <f>Depn!V20</f>
        <v>10.751806470984377</v>
      </c>
      <c r="I7" s="124">
        <f>Depn!W20</f>
        <v>9.3839766572367207</v>
      </c>
      <c r="J7" s="124">
        <f>Depn!X20</f>
        <v>8.196827199861211</v>
      </c>
      <c r="K7" s="124">
        <f>Depn!Y20</f>
        <v>7.1657054569710308</v>
      </c>
    </row>
    <row r="8" spans="1:11" x14ac:dyDescent="0.2">
      <c r="A8" s="123" t="s">
        <v>292</v>
      </c>
      <c r="B8" s="124">
        <f>'P&amp;L'!B27</f>
        <v>0.97820000000000018</v>
      </c>
      <c r="C8" s="124">
        <f>'P&amp;L'!C27</f>
        <v>0.97820000000000018</v>
      </c>
      <c r="D8" s="124">
        <f>'P&amp;L'!D27</f>
        <v>0.97820000000000018</v>
      </c>
      <c r="E8" s="124">
        <f>'P&amp;L'!E27</f>
        <v>0.97820000000000018</v>
      </c>
      <c r="F8" s="124">
        <f>'P&amp;L'!F27</f>
        <v>0.97820000000000018</v>
      </c>
      <c r="G8" s="124">
        <f>'P&amp;L'!G27</f>
        <v>0.97820000000000018</v>
      </c>
      <c r="H8" s="124">
        <f>'P&amp;L'!H27</f>
        <v>0.97820000000000018</v>
      </c>
      <c r="I8" s="124">
        <f>'P&amp;L'!I27</f>
        <v>0.97820000000000018</v>
      </c>
      <c r="J8" s="124">
        <f>'P&amp;L'!J27</f>
        <v>0.97820000000000018</v>
      </c>
      <c r="K8" s="124">
        <f>'P&amp;L'!K27</f>
        <v>0.97820000000000018</v>
      </c>
    </row>
    <row r="9" spans="1:11" x14ac:dyDescent="0.2">
      <c r="A9" s="123" t="s">
        <v>293</v>
      </c>
      <c r="B9" s="128">
        <f>B5+B6-B7-B8</f>
        <v>-4.4137219999999955</v>
      </c>
      <c r="C9" s="124">
        <f t="shared" ref="C9:K9" si="0">C5+C6-C7-C8</f>
        <v>5.6020169187499897</v>
      </c>
      <c r="D9" s="124">
        <f t="shared" si="0"/>
        <v>15.275829677187481</v>
      </c>
      <c r="E9" s="124">
        <f t="shared" si="0"/>
        <v>25.771869779796901</v>
      </c>
      <c r="F9" s="124">
        <f t="shared" si="0"/>
        <v>36.190643575036745</v>
      </c>
      <c r="G9" s="124">
        <f t="shared" si="0"/>
        <v>47.990784485038581</v>
      </c>
      <c r="H9" s="124">
        <f t="shared" si="0"/>
        <v>59.93248469060309</v>
      </c>
      <c r="I9" s="124">
        <f t="shared" si="0"/>
        <v>74.285074756180038</v>
      </c>
      <c r="J9" s="124">
        <f t="shared" si="0"/>
        <v>88.153025859226389</v>
      </c>
      <c r="K9" s="124">
        <f t="shared" si="0"/>
        <v>104.43569913632091</v>
      </c>
    </row>
    <row r="10" spans="1:11" x14ac:dyDescent="0.2">
      <c r="A10" s="123" t="s">
        <v>652</v>
      </c>
      <c r="B10" s="124">
        <v>0</v>
      </c>
      <c r="C10" s="124">
        <f>+B11</f>
        <v>-4.4137219999999955</v>
      </c>
      <c r="D10" s="124">
        <f t="shared" ref="D10:K10" si="1">+C11</f>
        <v>0</v>
      </c>
      <c r="E10" s="124">
        <f t="shared" si="1"/>
        <v>0</v>
      </c>
      <c r="F10" s="124">
        <f t="shared" si="1"/>
        <v>0</v>
      </c>
      <c r="G10" s="124">
        <f t="shared" si="1"/>
        <v>0</v>
      </c>
      <c r="H10" s="124">
        <f t="shared" si="1"/>
        <v>0</v>
      </c>
      <c r="I10" s="124">
        <f t="shared" si="1"/>
        <v>0</v>
      </c>
      <c r="J10" s="124">
        <f t="shared" si="1"/>
        <v>0</v>
      </c>
      <c r="K10" s="124">
        <f t="shared" si="1"/>
        <v>0</v>
      </c>
    </row>
    <row r="11" spans="1:11" x14ac:dyDescent="0.2">
      <c r="A11" s="123" t="s">
        <v>653</v>
      </c>
      <c r="B11" s="124">
        <f>+IF((B9+B10)&lt;0,B9+B10,0)</f>
        <v>-4.4137219999999955</v>
      </c>
      <c r="C11" s="124">
        <f>+IF((C9+C10)&lt;0,C9+C10,0)</f>
        <v>0</v>
      </c>
      <c r="D11" s="124">
        <f t="shared" ref="D11:K11" si="2">+IF((D9+D10)&lt;0,D9+D10,0)</f>
        <v>0</v>
      </c>
      <c r="E11" s="124">
        <f t="shared" si="2"/>
        <v>0</v>
      </c>
      <c r="F11" s="124">
        <f t="shared" si="2"/>
        <v>0</v>
      </c>
      <c r="G11" s="124">
        <f t="shared" si="2"/>
        <v>0</v>
      </c>
      <c r="H11" s="124">
        <f t="shared" si="2"/>
        <v>0</v>
      </c>
      <c r="I11" s="124">
        <f t="shared" si="2"/>
        <v>0</v>
      </c>
      <c r="J11" s="124">
        <f t="shared" si="2"/>
        <v>0</v>
      </c>
      <c r="K11" s="124">
        <f t="shared" si="2"/>
        <v>0</v>
      </c>
    </row>
    <row r="12" spans="1:11" x14ac:dyDescent="0.2">
      <c r="A12" s="123" t="s">
        <v>629</v>
      </c>
      <c r="B12" s="124">
        <f t="shared" ref="B12:K12" si="3">+B9+B10-B11</f>
        <v>0</v>
      </c>
      <c r="C12" s="124">
        <f t="shared" si="3"/>
        <v>1.1882949187499943</v>
      </c>
      <c r="D12" s="124">
        <f t="shared" si="3"/>
        <v>15.275829677187481</v>
      </c>
      <c r="E12" s="124">
        <f t="shared" si="3"/>
        <v>25.771869779796901</v>
      </c>
      <c r="F12" s="124">
        <f t="shared" si="3"/>
        <v>36.190643575036745</v>
      </c>
      <c r="G12" s="124">
        <f t="shared" si="3"/>
        <v>47.990784485038581</v>
      </c>
      <c r="H12" s="124">
        <f t="shared" si="3"/>
        <v>59.93248469060309</v>
      </c>
      <c r="I12" s="124">
        <f t="shared" si="3"/>
        <v>74.285074756180038</v>
      </c>
      <c r="J12" s="124">
        <f t="shared" si="3"/>
        <v>88.153025859226389</v>
      </c>
      <c r="K12" s="124">
        <f t="shared" si="3"/>
        <v>104.43569913632091</v>
      </c>
    </row>
    <row r="13" spans="1:11" ht="15" x14ac:dyDescent="0.25">
      <c r="A13" s="137" t="s">
        <v>603</v>
      </c>
      <c r="B13" s="193">
        <f>B12*0.3</f>
        <v>0</v>
      </c>
      <c r="C13" s="193">
        <f>C12*0.3</f>
        <v>0.35648847562499825</v>
      </c>
      <c r="D13" s="193">
        <f t="shared" ref="D13:K13" si="4">D12*0.3</f>
        <v>4.5827489031562445</v>
      </c>
      <c r="E13" s="193">
        <f t="shared" si="4"/>
        <v>7.7315609339390701</v>
      </c>
      <c r="F13" s="193">
        <f t="shared" si="4"/>
        <v>10.857193072511024</v>
      </c>
      <c r="G13" s="193">
        <f t="shared" si="4"/>
        <v>14.397235345511573</v>
      </c>
      <c r="H13" s="193">
        <f t="shared" si="4"/>
        <v>17.979745407180925</v>
      </c>
      <c r="I13" s="193">
        <f t="shared" si="4"/>
        <v>22.285522426854012</v>
      </c>
      <c r="J13" s="193">
        <f t="shared" si="4"/>
        <v>26.445907757767916</v>
      </c>
      <c r="K13" s="193">
        <f t="shared" si="4"/>
        <v>31.330709740896271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tabSelected="1" view="pageBreakPreview" topLeftCell="A18" zoomScale="60" zoomScaleNormal="100" workbookViewId="0">
      <selection activeCell="B24" sqref="B24:L24"/>
    </sheetView>
  </sheetViews>
  <sheetFormatPr defaultRowHeight="14.25" x14ac:dyDescent="0.2"/>
  <cols>
    <col min="1" max="1" width="29.7109375" style="184" bestFit="1" customWidth="1"/>
    <col min="2" max="3" width="11.28515625" style="184" bestFit="1" customWidth="1"/>
    <col min="4" max="7" width="11.85546875" style="184" bestFit="1" customWidth="1"/>
    <col min="8" max="8" width="11.28515625" style="184" bestFit="1" customWidth="1"/>
    <col min="9" max="10" width="11.85546875" style="184" bestFit="1" customWidth="1"/>
    <col min="11" max="11" width="11.28515625" style="184" bestFit="1" customWidth="1"/>
    <col min="12" max="12" width="11.85546875" style="184" bestFit="1" customWidth="1"/>
    <col min="13" max="16384" width="9.140625" style="184"/>
  </cols>
  <sheetData>
    <row r="1" spans="1:12" ht="15" x14ac:dyDescent="0.25">
      <c r="A1" s="383"/>
      <c r="B1" s="383"/>
      <c r="C1" s="383"/>
      <c r="D1" s="383"/>
      <c r="E1" s="383"/>
      <c r="F1" s="383"/>
      <c r="G1" s="383"/>
    </row>
    <row r="2" spans="1:12" ht="15" x14ac:dyDescent="0.25">
      <c r="A2" s="383" t="s">
        <v>294</v>
      </c>
      <c r="B2" s="383"/>
      <c r="C2" s="383"/>
      <c r="D2" s="383"/>
      <c r="E2" s="383"/>
      <c r="F2" s="383"/>
      <c r="G2" s="383"/>
      <c r="H2" s="383"/>
      <c r="I2" s="383"/>
    </row>
    <row r="4" spans="1:12" s="289" customFormat="1" ht="15" x14ac:dyDescent="0.25">
      <c r="A4" s="185" t="s">
        <v>1</v>
      </c>
      <c r="B4" s="185" t="s">
        <v>445</v>
      </c>
      <c r="C4" s="185" t="s">
        <v>36</v>
      </c>
      <c r="D4" s="185" t="s">
        <v>37</v>
      </c>
      <c r="E4" s="185" t="s">
        <v>38</v>
      </c>
      <c r="F4" s="185" t="s">
        <v>39</v>
      </c>
      <c r="G4" s="185" t="s">
        <v>40</v>
      </c>
      <c r="H4" s="185" t="s">
        <v>41</v>
      </c>
      <c r="I4" s="185" t="s">
        <v>42</v>
      </c>
      <c r="J4" s="185" t="s">
        <v>494</v>
      </c>
      <c r="K4" s="185" t="s">
        <v>495</v>
      </c>
      <c r="L4" s="185" t="s">
        <v>496</v>
      </c>
    </row>
    <row r="5" spans="1:12" ht="15" x14ac:dyDescent="0.25">
      <c r="A5" s="186" t="s">
        <v>295</v>
      </c>
      <c r="B5" s="18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12" x14ac:dyDescent="0.2">
      <c r="A6" s="170"/>
      <c r="B6" s="170"/>
      <c r="C6" s="156"/>
      <c r="D6" s="156"/>
      <c r="E6" s="156"/>
      <c r="F6" s="156"/>
      <c r="G6" s="156"/>
      <c r="H6" s="156"/>
      <c r="I6" s="156"/>
      <c r="J6" s="156"/>
      <c r="K6" s="156"/>
      <c r="L6" s="156"/>
    </row>
    <row r="7" spans="1:12" ht="15" x14ac:dyDescent="0.25">
      <c r="A7" s="187" t="s">
        <v>296</v>
      </c>
      <c r="B7" s="188">
        <f>'Project Glance'!B19</f>
        <v>84.550733333333355</v>
      </c>
      <c r="C7" s="189">
        <f>'Project Glance'!B19</f>
        <v>84.550733333333355</v>
      </c>
      <c r="D7" s="189">
        <f>C7</f>
        <v>84.550733333333355</v>
      </c>
      <c r="E7" s="189">
        <f t="shared" ref="E7:I7" si="0">D7</f>
        <v>84.550733333333355</v>
      </c>
      <c r="F7" s="189">
        <f t="shared" si="0"/>
        <v>84.550733333333355</v>
      </c>
      <c r="G7" s="189">
        <f t="shared" si="0"/>
        <v>84.550733333333355</v>
      </c>
      <c r="H7" s="189">
        <f t="shared" si="0"/>
        <v>84.550733333333355</v>
      </c>
      <c r="I7" s="189">
        <f t="shared" si="0"/>
        <v>84.550733333333355</v>
      </c>
      <c r="J7" s="189">
        <f t="shared" ref="J7" si="1">I7</f>
        <v>84.550733333333355</v>
      </c>
      <c r="K7" s="189">
        <f t="shared" ref="K7" si="2">J7</f>
        <v>84.550733333333355</v>
      </c>
      <c r="L7" s="189">
        <f t="shared" ref="L7" si="3">K7</f>
        <v>84.550733333333355</v>
      </c>
    </row>
    <row r="8" spans="1:12" x14ac:dyDescent="0.2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2" ht="15" x14ac:dyDescent="0.25">
      <c r="A9" s="187" t="s">
        <v>297</v>
      </c>
      <c r="B9" s="254">
        <f t="shared" ref="B9:I9" si="4">SUM(B7:B8)</f>
        <v>84.550733333333355</v>
      </c>
      <c r="C9" s="190">
        <f t="shared" si="4"/>
        <v>84.550733333333355</v>
      </c>
      <c r="D9" s="190">
        <f t="shared" si="4"/>
        <v>84.550733333333355</v>
      </c>
      <c r="E9" s="190">
        <f t="shared" si="4"/>
        <v>84.550733333333355</v>
      </c>
      <c r="F9" s="190">
        <f t="shared" si="4"/>
        <v>84.550733333333355</v>
      </c>
      <c r="G9" s="190">
        <f t="shared" si="4"/>
        <v>84.550733333333355</v>
      </c>
      <c r="H9" s="190">
        <f t="shared" si="4"/>
        <v>84.550733333333355</v>
      </c>
      <c r="I9" s="190">
        <f t="shared" si="4"/>
        <v>84.550733333333355</v>
      </c>
      <c r="J9" s="190">
        <f t="shared" ref="J9:L9" si="5">SUM(J7:J8)</f>
        <v>84.550733333333355</v>
      </c>
      <c r="K9" s="190">
        <f t="shared" si="5"/>
        <v>84.550733333333355</v>
      </c>
      <c r="L9" s="190">
        <f t="shared" si="5"/>
        <v>84.550733333333355</v>
      </c>
    </row>
    <row r="10" spans="1:12" ht="15" x14ac:dyDescent="0.25">
      <c r="A10" s="187"/>
      <c r="B10" s="187"/>
      <c r="C10" s="189"/>
      <c r="D10" s="189"/>
      <c r="E10" s="189"/>
      <c r="F10" s="189"/>
      <c r="G10" s="189"/>
      <c r="H10" s="156"/>
      <c r="I10" s="156"/>
      <c r="J10" s="156"/>
      <c r="K10" s="156"/>
      <c r="L10" s="156"/>
    </row>
    <row r="11" spans="1:12" x14ac:dyDescent="0.2">
      <c r="A11" s="191" t="s">
        <v>298</v>
      </c>
      <c r="B11" s="191"/>
      <c r="C11" s="189"/>
      <c r="D11" s="189"/>
      <c r="E11" s="189"/>
      <c r="F11" s="189"/>
      <c r="G11" s="189"/>
      <c r="H11" s="156"/>
      <c r="I11" s="156"/>
      <c r="J11" s="156"/>
      <c r="K11" s="156"/>
      <c r="L11" s="156"/>
    </row>
    <row r="12" spans="1:12" x14ac:dyDescent="0.2">
      <c r="A12" s="191"/>
      <c r="B12" s="191"/>
      <c r="C12" s="189"/>
      <c r="D12" s="189"/>
      <c r="E12" s="189"/>
      <c r="F12" s="189"/>
      <c r="G12" s="189"/>
      <c r="H12" s="156"/>
      <c r="I12" s="156"/>
      <c r="J12" s="156"/>
      <c r="K12" s="156"/>
      <c r="L12" s="156"/>
    </row>
    <row r="13" spans="1:12" ht="15" x14ac:dyDescent="0.25">
      <c r="A13" s="156" t="s">
        <v>324</v>
      </c>
      <c r="B13" s="188">
        <f>'Project Glance'!B20</f>
        <v>123.25320000000001</v>
      </c>
      <c r="C13" s="189">
        <f>B13</f>
        <v>123.25320000000001</v>
      </c>
      <c r="D13" s="189">
        <f t="shared" ref="D13:I13" si="6">C13</f>
        <v>123.25320000000001</v>
      </c>
      <c r="E13" s="189">
        <f t="shared" si="6"/>
        <v>123.25320000000001</v>
      </c>
      <c r="F13" s="189">
        <f t="shared" si="6"/>
        <v>123.25320000000001</v>
      </c>
      <c r="G13" s="189">
        <f t="shared" si="6"/>
        <v>123.25320000000001</v>
      </c>
      <c r="H13" s="189">
        <f t="shared" si="6"/>
        <v>123.25320000000001</v>
      </c>
      <c r="I13" s="189">
        <f t="shared" si="6"/>
        <v>123.25320000000001</v>
      </c>
      <c r="J13" s="189">
        <f t="shared" ref="J13" si="7">I13</f>
        <v>123.25320000000001</v>
      </c>
      <c r="K13" s="189">
        <f t="shared" ref="K13" si="8">J13</f>
        <v>123.25320000000001</v>
      </c>
      <c r="L13" s="189">
        <f t="shared" ref="L13" si="9">K13</f>
        <v>123.25320000000001</v>
      </c>
    </row>
    <row r="14" spans="1:12" x14ac:dyDescent="0.2">
      <c r="A14" s="191"/>
      <c r="B14" s="191"/>
      <c r="C14" s="189"/>
      <c r="D14" s="189"/>
      <c r="E14" s="189"/>
      <c r="F14" s="189"/>
      <c r="G14" s="189"/>
      <c r="H14" s="156"/>
      <c r="I14" s="156"/>
      <c r="J14" s="156"/>
      <c r="K14" s="156"/>
      <c r="L14" s="156"/>
    </row>
    <row r="15" spans="1:12" x14ac:dyDescent="0.2">
      <c r="A15" s="191" t="s">
        <v>299</v>
      </c>
      <c r="B15" s="191"/>
      <c r="C15" s="189"/>
      <c r="D15" s="189"/>
      <c r="E15" s="189"/>
      <c r="F15" s="189"/>
      <c r="G15" s="189"/>
      <c r="H15" s="156"/>
      <c r="I15" s="156"/>
      <c r="J15" s="156"/>
      <c r="K15" s="156"/>
      <c r="L15" s="156"/>
    </row>
    <row r="16" spans="1:12" x14ac:dyDescent="0.2">
      <c r="A16" s="156" t="s">
        <v>300</v>
      </c>
      <c r="B16" s="189">
        <v>0</v>
      </c>
      <c r="C16" s="189">
        <v>0</v>
      </c>
      <c r="D16" s="189">
        <f>C19</f>
        <v>11.830354000000007</v>
      </c>
      <c r="E16" s="189">
        <f>D19</f>
        <v>30.070308443124997</v>
      </c>
      <c r="F16" s="189">
        <f>E19</f>
        <v>50.949522717156235</v>
      </c>
      <c r="G16" s="189">
        <f>F19</f>
        <v>76.747435438014065</v>
      </c>
      <c r="H16" s="189">
        <f t="shared" ref="H16:I16" si="10">G19</f>
        <v>107.73690673428979</v>
      </c>
      <c r="I16" s="189">
        <f t="shared" si="10"/>
        <v>145.16653143850431</v>
      </c>
      <c r="J16" s="189">
        <f t="shared" ref="J16" si="11">I19</f>
        <v>189.37815319291084</v>
      </c>
      <c r="K16" s="189">
        <f t="shared" ref="K16" si="12">J19</f>
        <v>242.26875817947359</v>
      </c>
      <c r="L16" s="189">
        <f t="shared" ref="L16" si="13">K19</f>
        <v>303.67977948079329</v>
      </c>
    </row>
    <row r="17" spans="1:92" ht="15" x14ac:dyDescent="0.2">
      <c r="A17" s="156"/>
      <c r="B17" s="189"/>
      <c r="C17" s="290"/>
      <c r="D17" s="189"/>
      <c r="E17" s="189"/>
      <c r="F17" s="189"/>
      <c r="G17" s="189"/>
      <c r="H17" s="156"/>
      <c r="I17" s="156"/>
      <c r="J17" s="156"/>
      <c r="K17" s="156"/>
      <c r="L17" s="156"/>
    </row>
    <row r="18" spans="1:92" x14ac:dyDescent="0.2">
      <c r="A18" s="156" t="s">
        <v>301</v>
      </c>
      <c r="B18" s="189">
        <v>0</v>
      </c>
      <c r="C18" s="189">
        <f>'P&amp;L'!B36</f>
        <v>11.830354000000007</v>
      </c>
      <c r="D18" s="189">
        <f>'P&amp;L'!C36</f>
        <v>18.23995444312499</v>
      </c>
      <c r="E18" s="189">
        <f>'P&amp;L'!D36</f>
        <v>20.879214274031238</v>
      </c>
      <c r="F18" s="189">
        <f>'P&amp;L'!E36</f>
        <v>25.79791272085783</v>
      </c>
      <c r="G18" s="189">
        <f>'P&amp;L'!F36</f>
        <v>30.989471296275724</v>
      </c>
      <c r="H18" s="189">
        <f>'P&amp;L'!G36</f>
        <v>37.429624704214504</v>
      </c>
      <c r="I18" s="189">
        <f>'P&amp;L'!H36</f>
        <v>44.211621754406536</v>
      </c>
      <c r="J18" s="189">
        <f>'P&amp;L'!I36</f>
        <v>52.890604986562735</v>
      </c>
      <c r="K18" s="189">
        <f>'P&amp;L'!J36</f>
        <v>61.411021301319678</v>
      </c>
      <c r="L18" s="189">
        <f>'P&amp;L'!K36</f>
        <v>71.777770852395662</v>
      </c>
    </row>
    <row r="19" spans="1:92" x14ac:dyDescent="0.2">
      <c r="A19" s="156" t="s">
        <v>302</v>
      </c>
      <c r="B19" s="189">
        <f t="shared" ref="B19:G19" si="14">B16+B18</f>
        <v>0</v>
      </c>
      <c r="C19" s="189">
        <f t="shared" si="14"/>
        <v>11.830354000000007</v>
      </c>
      <c r="D19" s="189">
        <f t="shared" si="14"/>
        <v>30.070308443124997</v>
      </c>
      <c r="E19" s="189">
        <f t="shared" si="14"/>
        <v>50.949522717156235</v>
      </c>
      <c r="F19" s="189">
        <f t="shared" si="14"/>
        <v>76.747435438014065</v>
      </c>
      <c r="G19" s="189">
        <f t="shared" si="14"/>
        <v>107.73690673428979</v>
      </c>
      <c r="H19" s="189">
        <f t="shared" ref="H19:I19" si="15">H16+H18</f>
        <v>145.16653143850431</v>
      </c>
      <c r="I19" s="189">
        <f t="shared" si="15"/>
        <v>189.37815319291084</v>
      </c>
      <c r="J19" s="189">
        <f t="shared" ref="J19:L19" si="16">J16+J18</f>
        <v>242.26875817947359</v>
      </c>
      <c r="K19" s="189">
        <f t="shared" si="16"/>
        <v>303.67977948079329</v>
      </c>
      <c r="L19" s="189">
        <f t="shared" si="16"/>
        <v>375.45755033318892</v>
      </c>
    </row>
    <row r="20" spans="1:92" x14ac:dyDescent="0.2">
      <c r="A20" s="156" t="s">
        <v>303</v>
      </c>
      <c r="B20" s="291">
        <f>'Project Glance'!B21</f>
        <v>0</v>
      </c>
      <c r="C20" s="189">
        <f>'TL Schedule'!C7</f>
        <v>0</v>
      </c>
      <c r="D20" s="189">
        <f>'TL Schedule'!D7</f>
        <v>0</v>
      </c>
      <c r="E20" s="189">
        <f>'TL Schedule'!E7</f>
        <v>0</v>
      </c>
      <c r="F20" s="189">
        <f>'TL Schedule'!F7</f>
        <v>0</v>
      </c>
      <c r="G20" s="189">
        <f>'TL Schedule'!G7</f>
        <v>0</v>
      </c>
      <c r="H20" s="189">
        <f>'TL Schedule'!H7</f>
        <v>0</v>
      </c>
      <c r="I20" s="189">
        <f>'TL Schedule'!I7</f>
        <v>0</v>
      </c>
      <c r="J20" s="189">
        <f>'TL Schedule'!J7</f>
        <v>0</v>
      </c>
      <c r="K20" s="189">
        <f>'TL Schedule'!K7</f>
        <v>0</v>
      </c>
      <c r="L20" s="189">
        <f>'TL Schedule'!L7</f>
        <v>0</v>
      </c>
    </row>
    <row r="21" spans="1:92" x14ac:dyDescent="0.2">
      <c r="A21" s="156" t="s">
        <v>304</v>
      </c>
      <c r="B21" s="189">
        <v>0</v>
      </c>
      <c r="C21" s="189">
        <f>'WC Assessment'!C15</f>
        <v>7.1458000000000013</v>
      </c>
      <c r="D21" s="189">
        <f>'WC Assessment'!D15</f>
        <v>9.3389231249999991</v>
      </c>
      <c r="E21" s="189">
        <f>'WC Assessment'!E15</f>
        <v>10.935348031250001</v>
      </c>
      <c r="F21" s="189">
        <f>'WC Assessment'!F15</f>
        <v>12.092658557812499</v>
      </c>
      <c r="G21" s="189">
        <f>'WC Assessment'!G15</f>
        <v>14.053393360703124</v>
      </c>
      <c r="H21" s="189">
        <f>'WC Assessment'!H15</f>
        <v>16.003826778738286</v>
      </c>
      <c r="I21" s="189">
        <f>'WC Assessment'!I15</f>
        <v>18.073374680175203</v>
      </c>
      <c r="J21" s="189">
        <f>'WC Assessment'!J15</f>
        <v>20.838369039183956</v>
      </c>
      <c r="K21" s="189">
        <f>'WC Assessment'!K15</f>
        <v>22.988519991143146</v>
      </c>
      <c r="L21" s="189">
        <f>'WC Assessment'!L15</f>
        <v>25.794902865700312</v>
      </c>
    </row>
    <row r="22" spans="1:92" x14ac:dyDescent="0.2">
      <c r="A22" s="156" t="s">
        <v>305</v>
      </c>
      <c r="B22" s="189">
        <v>0</v>
      </c>
      <c r="C22" s="189">
        <f>('P&amp;L'!B16+'P&amp;L'!B23+'P&amp;L'!B25)/12</f>
        <v>11.501433333333333</v>
      </c>
      <c r="D22" s="189">
        <f>('P&amp;L'!C16+'P&amp;L'!C23+'P&amp;L'!C25)/12</f>
        <v>12.717152499999999</v>
      </c>
      <c r="E22" s="189">
        <f>('P&amp;L'!D16+'P&amp;L'!D23+'P&amp;L'!D25)/12</f>
        <v>14.384519291666665</v>
      </c>
      <c r="F22" s="189">
        <f>('P&amp;L'!E16+'P&amp;L'!E23+'P&amp;L'!E25)/12</f>
        <v>16.123296922916669</v>
      </c>
      <c r="G22" s="189">
        <f>('P&amp;L'!F16+'P&amp;L'!F23+'P&amp;L'!F25)/12</f>
        <v>18.070542185729167</v>
      </c>
      <c r="H22" s="189">
        <f>('P&amp;L'!G16+'P&amp;L'!G23+'P&amp;L'!G25)/12</f>
        <v>20.126555961682293</v>
      </c>
      <c r="I22" s="189">
        <f>('P&amp;L'!H16+'P&amp;L'!H23+'P&amp;L'!H25)/12</f>
        <v>22.342567093099742</v>
      </c>
      <c r="J22" s="189">
        <f>('P&amp;L'!I16+'P&amp;L'!I23+'P&amp;L'!I25)/12</f>
        <v>24.686241281088062</v>
      </c>
      <c r="K22" s="189">
        <f>('P&amp;L'!J16+'P&amp;L'!J23+'P&amp;L'!J25)/12</f>
        <v>27.143490011809135</v>
      </c>
      <c r="L22" s="189">
        <f>('P&amp;L'!K16+'P&amp;L'!K23+'P&amp;L'!K25)/12</f>
        <v>29.867104512399589</v>
      </c>
    </row>
    <row r="23" spans="1:92" x14ac:dyDescent="0.2">
      <c r="A23" s="156"/>
      <c r="B23" s="156"/>
      <c r="C23" s="189"/>
      <c r="D23" s="189"/>
      <c r="E23" s="189"/>
      <c r="F23" s="189"/>
      <c r="G23" s="189"/>
      <c r="H23" s="156"/>
      <c r="I23" s="156"/>
      <c r="J23" s="156"/>
      <c r="K23" s="156"/>
      <c r="L23" s="156"/>
    </row>
    <row r="24" spans="1:92" ht="15" x14ac:dyDescent="0.25">
      <c r="A24" s="186" t="s">
        <v>306</v>
      </c>
      <c r="B24" s="413">
        <v>207.80393333333336</v>
      </c>
      <c r="C24" s="413">
        <v>238.28152066666672</v>
      </c>
      <c r="D24" s="413">
        <v>259.93031740145835</v>
      </c>
      <c r="E24" s="413">
        <v>284.07332337340625</v>
      </c>
      <c r="F24" s="413">
        <v>312.76732425207661</v>
      </c>
      <c r="G24" s="413">
        <v>347.66477561405543</v>
      </c>
      <c r="H24" s="413">
        <v>389.10084751225827</v>
      </c>
      <c r="I24" s="413">
        <v>437.59802829951911</v>
      </c>
      <c r="J24" s="413">
        <v>495.59730183307897</v>
      </c>
      <c r="K24" s="413">
        <v>561.61572281707902</v>
      </c>
      <c r="L24" s="413">
        <v>638.9234910446221</v>
      </c>
      <c r="M24" s="292"/>
      <c r="N24" s="292"/>
      <c r="O24" s="292"/>
      <c r="P24" s="292"/>
    </row>
    <row r="25" spans="1:92" x14ac:dyDescent="0.2">
      <c r="A25" s="156"/>
      <c r="B25" s="156"/>
      <c r="C25" s="189"/>
      <c r="D25" s="189"/>
      <c r="E25" s="189"/>
      <c r="F25" s="189"/>
      <c r="G25" s="189"/>
      <c r="H25" s="156"/>
      <c r="I25" s="156"/>
      <c r="J25" s="156"/>
      <c r="K25" s="156"/>
      <c r="L25" s="156"/>
    </row>
    <row r="26" spans="1:92" ht="15" x14ac:dyDescent="0.25">
      <c r="A26" s="186" t="s">
        <v>307</v>
      </c>
      <c r="B26" s="186"/>
      <c r="C26" s="189"/>
      <c r="D26" s="189"/>
      <c r="E26" s="189"/>
      <c r="F26" s="189"/>
      <c r="G26" s="189"/>
      <c r="H26" s="291"/>
      <c r="I26" s="291"/>
      <c r="J26" s="291"/>
      <c r="K26" s="291"/>
      <c r="L26" s="291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ht="15" x14ac:dyDescent="0.25">
      <c r="A27" s="187" t="s">
        <v>308</v>
      </c>
      <c r="B27" s="187"/>
      <c r="C27" s="189"/>
      <c r="D27" s="189"/>
      <c r="E27" s="189"/>
      <c r="F27" s="189"/>
      <c r="G27" s="189"/>
      <c r="H27" s="156"/>
      <c r="I27" s="156"/>
      <c r="J27" s="156"/>
      <c r="K27" s="156"/>
      <c r="L27" s="156"/>
    </row>
    <row r="28" spans="1:92" x14ac:dyDescent="0.2">
      <c r="A28" s="170" t="s">
        <v>309</v>
      </c>
      <c r="B28" s="294">
        <f>'Project Glance'!B6+'Project Glance'!B7+'Project Glance'!B8+'Project Glance'!B9+'Project Glance'!B11</f>
        <v>195.64000000000001</v>
      </c>
      <c r="C28" s="189">
        <f>Depn!C19</f>
        <v>195.64000000000001</v>
      </c>
      <c r="D28" s="189">
        <f>Depn!D19</f>
        <v>186.16887600000001</v>
      </c>
      <c r="E28" s="189">
        <f>Depn!E19</f>
        <v>176.69775200000001</v>
      </c>
      <c r="F28" s="189">
        <f>Depn!F19</f>
        <v>167.22662800000001</v>
      </c>
      <c r="G28" s="189">
        <f>Depn!G19</f>
        <v>157.755504</v>
      </c>
      <c r="H28" s="189">
        <f>Depn!H19</f>
        <v>148.28438</v>
      </c>
      <c r="I28" s="189">
        <f>Depn!I19</f>
        <v>138.813256</v>
      </c>
      <c r="J28" s="189">
        <f>Depn!J19</f>
        <v>129.34213199999999</v>
      </c>
      <c r="K28" s="189">
        <f>Depn!K19</f>
        <v>119.87100799999999</v>
      </c>
      <c r="L28" s="189">
        <f>Depn!L19</f>
        <v>110.39988399999999</v>
      </c>
    </row>
    <row r="29" spans="1:92" x14ac:dyDescent="0.2">
      <c r="A29" s="198" t="s">
        <v>449</v>
      </c>
      <c r="B29" s="295">
        <v>0</v>
      </c>
      <c r="C29" s="189">
        <f>Depn!C20</f>
        <v>9.4711239999999997</v>
      </c>
      <c r="D29" s="189">
        <f>Depn!D20</f>
        <v>9.4711239999999997</v>
      </c>
      <c r="E29" s="189">
        <f>Depn!E20</f>
        <v>9.4711239999999997</v>
      </c>
      <c r="F29" s="189">
        <f>Depn!F20</f>
        <v>9.4711239999999997</v>
      </c>
      <c r="G29" s="189">
        <f>Depn!G20</f>
        <v>9.4711239999999997</v>
      </c>
      <c r="H29" s="189">
        <f>Depn!H20</f>
        <v>9.4711239999999997</v>
      </c>
      <c r="I29" s="189">
        <f>Depn!I20</f>
        <v>9.4711239999999997</v>
      </c>
      <c r="J29" s="189">
        <f>Depn!J20</f>
        <v>9.4711239999999997</v>
      </c>
      <c r="K29" s="189">
        <f>Depn!K20</f>
        <v>9.4711239999999997</v>
      </c>
      <c r="L29" s="189">
        <f>Depn!L20</f>
        <v>9.4711239999999997</v>
      </c>
    </row>
    <row r="30" spans="1:92" x14ac:dyDescent="0.2">
      <c r="A30" s="170" t="s">
        <v>310</v>
      </c>
      <c r="B30" s="295">
        <f>B28-B29</f>
        <v>195.64000000000001</v>
      </c>
      <c r="C30" s="189">
        <f>Depn!C21</f>
        <v>186.16887600000001</v>
      </c>
      <c r="D30" s="189">
        <f>Depn!D21</f>
        <v>176.69775200000001</v>
      </c>
      <c r="E30" s="189">
        <f>Depn!E21</f>
        <v>167.22662800000001</v>
      </c>
      <c r="F30" s="189">
        <f>Depn!F21</f>
        <v>157.755504</v>
      </c>
      <c r="G30" s="189">
        <f>Depn!G21</f>
        <v>148.28438</v>
      </c>
      <c r="H30" s="189">
        <f>Depn!H21</f>
        <v>138.813256</v>
      </c>
      <c r="I30" s="189">
        <f>Depn!I21</f>
        <v>129.34213199999999</v>
      </c>
      <c r="J30" s="189">
        <f>Depn!J21</f>
        <v>119.87100799999999</v>
      </c>
      <c r="K30" s="189">
        <f>Depn!K21</f>
        <v>110.39988399999999</v>
      </c>
      <c r="L30" s="189">
        <f>Depn!L21</f>
        <v>100.92875999999998</v>
      </c>
    </row>
    <row r="31" spans="1:92" x14ac:dyDescent="0.2">
      <c r="A31" s="170"/>
      <c r="B31" s="170"/>
      <c r="C31" s="189"/>
      <c r="D31" s="189"/>
      <c r="E31" s="189"/>
      <c r="F31" s="189"/>
      <c r="G31" s="189"/>
      <c r="H31" s="156"/>
      <c r="I31" s="296"/>
      <c r="J31" s="296"/>
      <c r="K31" s="296"/>
      <c r="L31" s="296"/>
      <c r="M31" s="292"/>
      <c r="N31" s="292"/>
      <c r="O31" s="292"/>
      <c r="P31" s="292"/>
      <c r="Q31" s="292"/>
      <c r="R31" s="292"/>
    </row>
    <row r="32" spans="1:92" x14ac:dyDescent="0.2">
      <c r="A32" s="170" t="s">
        <v>311</v>
      </c>
      <c r="B32" s="294">
        <f>'Project Glance'!B10</f>
        <v>9.7820000000000018</v>
      </c>
      <c r="C32" s="189">
        <f>B32-'P&amp;L'!B27</f>
        <v>8.8038000000000025</v>
      </c>
      <c r="D32" s="189">
        <f>C32-'P&amp;L'!C27</f>
        <v>7.8256000000000023</v>
      </c>
      <c r="E32" s="189">
        <f>D32-'P&amp;L'!D27</f>
        <v>6.8474000000000022</v>
      </c>
      <c r="F32" s="189">
        <f>E32-'P&amp;L'!E27</f>
        <v>5.869200000000002</v>
      </c>
      <c r="G32" s="189">
        <f>F32-'P&amp;L'!F27</f>
        <v>4.8910000000000018</v>
      </c>
      <c r="H32" s="189">
        <f>G32-'P&amp;L'!G27</f>
        <v>3.9128000000000016</v>
      </c>
      <c r="I32" s="189">
        <f>H32-'P&amp;L'!H27</f>
        <v>2.9346000000000014</v>
      </c>
      <c r="J32" s="189">
        <f>I32-'P&amp;L'!I27</f>
        <v>1.9564000000000012</v>
      </c>
      <c r="K32" s="189">
        <f>J32-'P&amp;L'!J27</f>
        <v>0.97820000000000107</v>
      </c>
      <c r="L32" s="189">
        <f>K32-'P&amp;L'!K27</f>
        <v>8.8817841970012523E-16</v>
      </c>
    </row>
    <row r="33" spans="1:12" x14ac:dyDescent="0.2">
      <c r="A33" s="170" t="s">
        <v>21</v>
      </c>
      <c r="B33" s="294">
        <f>'Project Glance'!B12</f>
        <v>0</v>
      </c>
      <c r="C33" s="189">
        <f>'Project Glance'!B12</f>
        <v>0</v>
      </c>
      <c r="D33" s="189">
        <f>C33</f>
        <v>0</v>
      </c>
      <c r="E33" s="189">
        <f t="shared" ref="E33:I33" si="17">D33</f>
        <v>0</v>
      </c>
      <c r="F33" s="189">
        <f t="shared" si="17"/>
        <v>0</v>
      </c>
      <c r="G33" s="189">
        <f t="shared" si="17"/>
        <v>0</v>
      </c>
      <c r="H33" s="189">
        <f t="shared" si="17"/>
        <v>0</v>
      </c>
      <c r="I33" s="189">
        <f t="shared" si="17"/>
        <v>0</v>
      </c>
      <c r="J33" s="189">
        <f t="shared" ref="J33" si="18">I33</f>
        <v>0</v>
      </c>
      <c r="K33" s="189">
        <f t="shared" ref="K33" si="19">J33</f>
        <v>0</v>
      </c>
      <c r="L33" s="189">
        <f t="shared" ref="L33" si="20">K33</f>
        <v>0</v>
      </c>
    </row>
    <row r="34" spans="1:12" x14ac:dyDescent="0.2">
      <c r="A34" s="170"/>
      <c r="B34" s="170"/>
      <c r="C34" s="189"/>
      <c r="D34" s="189"/>
      <c r="E34" s="189"/>
      <c r="F34" s="189"/>
      <c r="G34" s="189"/>
      <c r="H34" s="156"/>
      <c r="I34" s="156"/>
      <c r="J34" s="156"/>
      <c r="K34" s="156"/>
      <c r="L34" s="156"/>
    </row>
    <row r="35" spans="1:12" ht="15" x14ac:dyDescent="0.25">
      <c r="A35" s="187" t="s">
        <v>312</v>
      </c>
      <c r="B35" s="187"/>
      <c r="C35" s="189"/>
      <c r="D35" s="189"/>
      <c r="E35" s="189"/>
      <c r="F35" s="189"/>
      <c r="G35" s="189"/>
      <c r="H35" s="156"/>
      <c r="I35" s="156"/>
      <c r="J35" s="156"/>
      <c r="K35" s="156"/>
      <c r="L35" s="156"/>
    </row>
    <row r="36" spans="1:12" x14ac:dyDescent="0.2">
      <c r="A36" s="156" t="s">
        <v>313</v>
      </c>
      <c r="B36" s="189">
        <v>0</v>
      </c>
      <c r="C36" s="189">
        <f>'P&amp;L'!B9/12</f>
        <v>12.719166666666666</v>
      </c>
      <c r="D36" s="189">
        <f>'P&amp;L'!C9/12</f>
        <v>15.057549999999999</v>
      </c>
      <c r="E36" s="189">
        <f>'P&amp;L'!D9/12</f>
        <v>17.332383333333333</v>
      </c>
      <c r="F36" s="189">
        <f>'P&amp;L'!E9/12</f>
        <v>19.812041666666669</v>
      </c>
      <c r="G36" s="189">
        <f>'P&amp;L'!F9/12</f>
        <v>22.366699999999998</v>
      </c>
      <c r="H36" s="189">
        <f>'P&amp;L'!G9/12</f>
        <v>25.291991666666672</v>
      </c>
      <c r="I36" s="189">
        <f>'P&amp;L'!H9/12</f>
        <v>28.37370000000001</v>
      </c>
      <c r="J36" s="189">
        <f>'P&amp;L'!I9/12</f>
        <v>31.757433333333339</v>
      </c>
      <c r="K36" s="189">
        <f>'P&amp;L'!J9/12</f>
        <v>35.365050000000004</v>
      </c>
      <c r="L36" s="189">
        <f>'P&amp;L'!K9/12</f>
        <v>39.314008333333334</v>
      </c>
    </row>
    <row r="37" spans="1:12" x14ac:dyDescent="0.2">
      <c r="A37" s="156"/>
      <c r="B37" s="189"/>
      <c r="C37" s="291"/>
      <c r="D37" s="291"/>
      <c r="E37" s="291"/>
      <c r="F37" s="291"/>
      <c r="G37" s="291"/>
      <c r="H37" s="156"/>
      <c r="I37" s="156"/>
      <c r="J37" s="156"/>
      <c r="K37" s="156"/>
      <c r="L37" s="156"/>
    </row>
    <row r="38" spans="1:12" x14ac:dyDescent="0.2">
      <c r="A38" s="156"/>
      <c r="B38" s="189"/>
      <c r="C38" s="189"/>
      <c r="D38" s="189"/>
      <c r="E38" s="189"/>
      <c r="F38" s="189"/>
      <c r="G38" s="189"/>
      <c r="H38" s="189"/>
      <c r="I38" s="189"/>
      <c r="J38" s="156"/>
      <c r="K38" s="156"/>
      <c r="L38" s="156"/>
    </row>
    <row r="39" spans="1:12" x14ac:dyDescent="0.2">
      <c r="A39" s="200" t="s">
        <v>81</v>
      </c>
      <c r="B39" s="297"/>
      <c r="C39" s="189"/>
      <c r="D39" s="189"/>
      <c r="E39" s="189"/>
      <c r="F39" s="189"/>
      <c r="G39" s="189"/>
      <c r="H39" s="156"/>
      <c r="I39" s="156"/>
      <c r="J39" s="156"/>
      <c r="K39" s="156"/>
      <c r="L39" s="156"/>
    </row>
    <row r="40" spans="1:12" x14ac:dyDescent="0.2">
      <c r="A40" s="156" t="s">
        <v>314</v>
      </c>
      <c r="B40" s="189">
        <v>0</v>
      </c>
      <c r="C40" s="189">
        <f>'CS-FG'!C123</f>
        <v>4.08</v>
      </c>
      <c r="D40" s="189">
        <f>'CS-FG'!D123</f>
        <v>5.2290000000000001</v>
      </c>
      <c r="E40" s="189">
        <f>'CS-FG'!E123</f>
        <v>5.8327999999999998</v>
      </c>
      <c r="F40" s="189">
        <f>'CS-FG'!F123</f>
        <v>6.1243999999999996</v>
      </c>
      <c r="G40" s="189">
        <f>'CS-FG'!G123</f>
        <v>7.3053000000000008</v>
      </c>
      <c r="H40" s="189">
        <f>'CS-FG'!H123</f>
        <v>8.1934000000000005</v>
      </c>
      <c r="I40" s="189">
        <f>'CS-FG'!I123</f>
        <v>9.1256000000000004</v>
      </c>
      <c r="J40" s="189">
        <f>'CS-FG'!J123</f>
        <v>10.467599999999997</v>
      </c>
      <c r="K40" s="189">
        <f>'CS-FG'!K123</f>
        <v>11.390099999999997</v>
      </c>
      <c r="L40" s="189">
        <f>'CS-FG'!L123</f>
        <v>12.409100000000002</v>
      </c>
    </row>
    <row r="41" spans="1:12" x14ac:dyDescent="0.2">
      <c r="A41" s="156" t="s">
        <v>315</v>
      </c>
      <c r="B41" s="189">
        <v>0</v>
      </c>
      <c r="C41" s="189">
        <f>'CS-RM'!B31</f>
        <v>4.2300000000000004</v>
      </c>
      <c r="D41" s="189">
        <f>'CS-RM'!C31</f>
        <v>4.8825000000000003</v>
      </c>
      <c r="E41" s="189">
        <f>'CS-RM'!D31</f>
        <v>5.7997999999999994</v>
      </c>
      <c r="F41" s="189">
        <f>'CS-RM'!E31</f>
        <v>6.3103999999999996</v>
      </c>
      <c r="G41" s="189">
        <f>'CS-RM'!F31</f>
        <v>7.1364000000000001</v>
      </c>
      <c r="H41" s="189">
        <f>'CS-RM'!G31</f>
        <v>7.9795999999999996</v>
      </c>
      <c r="I41" s="189">
        <f>'CS-RM'!H31</f>
        <v>8.9411000000000005</v>
      </c>
      <c r="J41" s="189">
        <f>'CS-RM'!I31</f>
        <v>10.245699999999999</v>
      </c>
      <c r="K41" s="189">
        <f>'CS-RM'!J31</f>
        <v>11.0397</v>
      </c>
      <c r="L41" s="189">
        <f>'CS-RM'!K31</f>
        <v>12.5372</v>
      </c>
    </row>
    <row r="42" spans="1:12" x14ac:dyDescent="0.2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</row>
    <row r="43" spans="1:12" x14ac:dyDescent="0.2">
      <c r="A43" s="156"/>
      <c r="B43" s="156"/>
      <c r="C43" s="189">
        <f>SUM(C40:C41)</f>
        <v>8.31</v>
      </c>
      <c r="D43" s="189">
        <f>SUM(D40:D41)</f>
        <v>10.111499999999999</v>
      </c>
      <c r="E43" s="189">
        <f>SUM(E40:E41)</f>
        <v>11.6326</v>
      </c>
      <c r="F43" s="189">
        <f>SUM(F40:F41)</f>
        <v>12.434799999999999</v>
      </c>
      <c r="G43" s="189">
        <f>SUM(G40:G41)</f>
        <v>14.441700000000001</v>
      </c>
      <c r="H43" s="189">
        <f t="shared" ref="H43:L43" si="21">SUM(H40:H41)</f>
        <v>16.173000000000002</v>
      </c>
      <c r="I43" s="189">
        <f t="shared" si="21"/>
        <v>18.066700000000001</v>
      </c>
      <c r="J43" s="189">
        <f t="shared" si="21"/>
        <v>20.713299999999997</v>
      </c>
      <c r="K43" s="189">
        <f t="shared" si="21"/>
        <v>22.429799999999997</v>
      </c>
      <c r="L43" s="189">
        <f t="shared" si="21"/>
        <v>24.946300000000001</v>
      </c>
    </row>
    <row r="44" spans="1:12" hidden="1" x14ac:dyDescent="0.2">
      <c r="A44" s="156"/>
      <c r="B44" s="156"/>
      <c r="C44" s="189"/>
      <c r="D44" s="189"/>
      <c r="E44" s="189"/>
      <c r="F44" s="189"/>
      <c r="G44" s="189"/>
      <c r="H44" s="189"/>
      <c r="I44" s="189"/>
      <c r="J44" s="156"/>
      <c r="K44" s="156"/>
      <c r="L44" s="156"/>
    </row>
    <row r="45" spans="1:12" hidden="1" x14ac:dyDescent="0.2">
      <c r="A45" s="156" t="s">
        <v>456</v>
      </c>
      <c r="B45" s="156"/>
      <c r="C45" s="189">
        <v>0</v>
      </c>
      <c r="D45" s="189">
        <v>0</v>
      </c>
      <c r="E45" s="189">
        <v>0</v>
      </c>
      <c r="F45" s="189">
        <v>0</v>
      </c>
      <c r="G45" s="189">
        <v>0</v>
      </c>
      <c r="H45" s="189">
        <v>0</v>
      </c>
      <c r="I45" s="189">
        <v>0</v>
      </c>
      <c r="J45" s="156"/>
      <c r="K45" s="156"/>
      <c r="L45" s="156"/>
    </row>
    <row r="46" spans="1:12" x14ac:dyDescent="0.2">
      <c r="A46" s="156"/>
      <c r="B46" s="156"/>
      <c r="C46" s="189"/>
      <c r="D46" s="189"/>
      <c r="E46" s="189"/>
      <c r="F46" s="189"/>
      <c r="G46" s="189"/>
      <c r="H46" s="189"/>
      <c r="I46" s="189"/>
      <c r="J46" s="156"/>
      <c r="K46" s="156"/>
      <c r="L46" s="156"/>
    </row>
    <row r="47" spans="1:12" x14ac:dyDescent="0.2">
      <c r="A47" s="156" t="s">
        <v>316</v>
      </c>
      <c r="B47" s="189">
        <f>CF!C35</f>
        <v>2.3819333333333361</v>
      </c>
      <c r="C47" s="189">
        <f>CF!D35</f>
        <v>22.27967799999999</v>
      </c>
      <c r="D47" s="189">
        <f>CF!E35</f>
        <v>50.237915401458338</v>
      </c>
      <c r="E47" s="189">
        <f>CF!F35</f>
        <v>81.034312040072933</v>
      </c>
      <c r="F47" s="189">
        <f>CF!G35</f>
        <v>116.89577858540991</v>
      </c>
      <c r="G47" s="189">
        <f>CF!H35</f>
        <v>157.68099561405538</v>
      </c>
      <c r="H47" s="189">
        <f>CF!I35</f>
        <v>204.90979984559155</v>
      </c>
      <c r="I47" s="189">
        <f>CF!J35</f>
        <v>258.88089629951912</v>
      </c>
      <c r="J47" s="189">
        <f>CF!K35</f>
        <v>321.29916049974565</v>
      </c>
      <c r="K47" s="189">
        <f>CF!L35</f>
        <v>392.44278881707891</v>
      </c>
      <c r="L47" s="189">
        <f>CF!M35</f>
        <v>473.7344227112888</v>
      </c>
    </row>
    <row r="48" spans="1:12" x14ac:dyDescent="0.2">
      <c r="A48" s="156" t="s">
        <v>317</v>
      </c>
      <c r="B48" s="156"/>
      <c r="C48" s="189"/>
      <c r="D48" s="189"/>
      <c r="E48" s="189"/>
      <c r="F48" s="189"/>
      <c r="G48" s="189"/>
      <c r="H48" s="156"/>
      <c r="I48" s="156"/>
      <c r="J48" s="156"/>
      <c r="K48" s="156"/>
      <c r="L48" s="156"/>
    </row>
    <row r="49" spans="1:12" x14ac:dyDescent="0.2">
      <c r="A49" s="156"/>
      <c r="B49" s="156"/>
      <c r="C49" s="189"/>
      <c r="D49" s="189"/>
      <c r="E49" s="189"/>
      <c r="F49" s="189"/>
      <c r="G49" s="189"/>
      <c r="H49" s="156"/>
      <c r="I49" s="156"/>
      <c r="J49" s="156"/>
      <c r="K49" s="156"/>
      <c r="L49" s="156"/>
    </row>
    <row r="50" spans="1:12" ht="15" x14ac:dyDescent="0.25">
      <c r="A50" s="187" t="s">
        <v>318</v>
      </c>
      <c r="B50" s="190">
        <f>SUM(B30:B47)</f>
        <v>207.80393333333336</v>
      </c>
      <c r="C50" s="190">
        <f>SUM(C30:C41)+C47</f>
        <v>238.28152066666667</v>
      </c>
      <c r="D50" s="190">
        <f t="shared" ref="D50:L50" si="22">SUM(D30:D41)+D47</f>
        <v>259.93031740145835</v>
      </c>
      <c r="E50" s="190">
        <f t="shared" si="22"/>
        <v>284.07332337340625</v>
      </c>
      <c r="F50" s="190">
        <f t="shared" si="22"/>
        <v>312.76732425207661</v>
      </c>
      <c r="G50" s="190">
        <f t="shared" si="22"/>
        <v>347.66477561405537</v>
      </c>
      <c r="H50" s="190">
        <f t="shared" si="22"/>
        <v>389.10084751225821</v>
      </c>
      <c r="I50" s="190">
        <f t="shared" si="22"/>
        <v>437.59802829951911</v>
      </c>
      <c r="J50" s="190">
        <f t="shared" si="22"/>
        <v>495.59730183307897</v>
      </c>
      <c r="K50" s="190">
        <f t="shared" si="22"/>
        <v>561.6157228170789</v>
      </c>
      <c r="L50" s="190">
        <f t="shared" si="22"/>
        <v>638.9234910446221</v>
      </c>
    </row>
    <row r="51" spans="1:12" ht="15" x14ac:dyDescent="0.25">
      <c r="A51" s="289"/>
      <c r="B51" s="289"/>
      <c r="C51" s="298"/>
      <c r="D51" s="298"/>
      <c r="E51" s="298"/>
      <c r="F51" s="298"/>
      <c r="G51" s="298"/>
    </row>
    <row r="52" spans="1:12" x14ac:dyDescent="0.2">
      <c r="A52" s="299"/>
      <c r="B52" s="300">
        <f t="shared" ref="B52:G52" si="23">B50-B24</f>
        <v>0</v>
      </c>
      <c r="C52" s="300">
        <f t="shared" si="23"/>
        <v>0</v>
      </c>
      <c r="D52" s="300">
        <f t="shared" si="23"/>
        <v>0</v>
      </c>
      <c r="E52" s="300">
        <f t="shared" si="23"/>
        <v>0</v>
      </c>
      <c r="F52" s="300">
        <f t="shared" si="23"/>
        <v>0</v>
      </c>
      <c r="G52" s="300">
        <f t="shared" si="23"/>
        <v>0</v>
      </c>
      <c r="H52" s="300">
        <f t="shared" ref="H52:L52" si="24">H50-H24</f>
        <v>0</v>
      </c>
      <c r="I52" s="300">
        <f t="shared" si="24"/>
        <v>0</v>
      </c>
      <c r="J52" s="300">
        <f t="shared" si="24"/>
        <v>0</v>
      </c>
      <c r="K52" s="300">
        <f t="shared" si="24"/>
        <v>0</v>
      </c>
      <c r="L52" s="300">
        <f t="shared" si="24"/>
        <v>0</v>
      </c>
    </row>
    <row r="53" spans="1:12" x14ac:dyDescent="0.2">
      <c r="C53" s="301"/>
      <c r="D53" s="301"/>
      <c r="E53" s="301"/>
      <c r="F53" s="301"/>
      <c r="G53" s="301"/>
    </row>
    <row r="54" spans="1:12" x14ac:dyDescent="0.2">
      <c r="C54" s="301"/>
      <c r="D54" s="301"/>
      <c r="E54" s="301"/>
      <c r="F54" s="301"/>
      <c r="G54" s="301"/>
    </row>
    <row r="56" spans="1:12" x14ac:dyDescent="0.2">
      <c r="C56" s="301"/>
      <c r="D56" s="301"/>
      <c r="E56" s="301"/>
      <c r="F56" s="301"/>
      <c r="G56" s="301"/>
    </row>
    <row r="57" spans="1:12" x14ac:dyDescent="0.2">
      <c r="C57" s="301"/>
      <c r="D57" s="301"/>
      <c r="E57" s="301"/>
      <c r="F57" s="301"/>
      <c r="G57" s="301"/>
    </row>
    <row r="58" spans="1:12" x14ac:dyDescent="0.2">
      <c r="C58" s="301"/>
      <c r="D58" s="301"/>
      <c r="E58" s="301"/>
      <c r="F58" s="301"/>
      <c r="G58" s="301"/>
    </row>
    <row r="59" spans="1:12" x14ac:dyDescent="0.2">
      <c r="C59" s="301"/>
      <c r="D59" s="301"/>
      <c r="E59" s="301"/>
      <c r="F59" s="301"/>
      <c r="G59" s="301"/>
    </row>
    <row r="60" spans="1:12" x14ac:dyDescent="0.2">
      <c r="A60" s="301"/>
      <c r="B60" s="301"/>
      <c r="D60" s="301"/>
      <c r="F60" s="301"/>
      <c r="G60" s="301"/>
    </row>
    <row r="61" spans="1:12" x14ac:dyDescent="0.2">
      <c r="A61" s="301"/>
      <c r="B61" s="301"/>
      <c r="D61" s="301"/>
      <c r="F61" s="301"/>
      <c r="G61" s="301"/>
    </row>
    <row r="62" spans="1:12" x14ac:dyDescent="0.2">
      <c r="A62" s="301"/>
      <c r="B62" s="301"/>
      <c r="D62" s="301"/>
      <c r="F62" s="301"/>
      <c r="G62" s="301"/>
    </row>
    <row r="63" spans="1:12" x14ac:dyDescent="0.2">
      <c r="A63" s="301"/>
      <c r="B63" s="301"/>
      <c r="D63" s="301"/>
      <c r="F63" s="301"/>
      <c r="G63" s="301"/>
    </row>
    <row r="64" spans="1:12" x14ac:dyDescent="0.2">
      <c r="D64" s="301"/>
      <c r="F64" s="301"/>
    </row>
    <row r="65" spans="3:7" x14ac:dyDescent="0.2">
      <c r="D65" s="301"/>
      <c r="F65" s="301"/>
    </row>
    <row r="66" spans="3:7" x14ac:dyDescent="0.2">
      <c r="D66" s="301"/>
      <c r="F66" s="301"/>
      <c r="G66" s="301"/>
    </row>
    <row r="67" spans="3:7" x14ac:dyDescent="0.2">
      <c r="D67" s="301"/>
      <c r="F67" s="301"/>
      <c r="G67" s="301"/>
    </row>
    <row r="68" spans="3:7" x14ac:dyDescent="0.2">
      <c r="D68" s="301"/>
      <c r="F68" s="301"/>
      <c r="G68" s="301"/>
    </row>
    <row r="69" spans="3:7" x14ac:dyDescent="0.2">
      <c r="D69" s="301"/>
      <c r="F69" s="301"/>
      <c r="G69" s="301"/>
    </row>
    <row r="70" spans="3:7" x14ac:dyDescent="0.2">
      <c r="D70" s="301"/>
      <c r="F70" s="301"/>
      <c r="G70" s="301"/>
    </row>
    <row r="71" spans="3:7" x14ac:dyDescent="0.2">
      <c r="D71" s="301"/>
      <c r="F71" s="301"/>
      <c r="G71" s="301"/>
    </row>
    <row r="72" spans="3:7" x14ac:dyDescent="0.2">
      <c r="D72" s="301"/>
      <c r="F72" s="301"/>
      <c r="G72" s="301"/>
    </row>
    <row r="73" spans="3:7" x14ac:dyDescent="0.2">
      <c r="D73" s="301"/>
      <c r="F73" s="301"/>
      <c r="G73" s="301"/>
    </row>
    <row r="74" spans="3:7" x14ac:dyDescent="0.2">
      <c r="C74" s="301"/>
      <c r="D74" s="301"/>
      <c r="E74" s="301"/>
      <c r="F74" s="301"/>
      <c r="G74" s="301"/>
    </row>
    <row r="75" spans="3:7" x14ac:dyDescent="0.2">
      <c r="C75" s="301"/>
      <c r="D75" s="301"/>
      <c r="E75" s="301"/>
      <c r="F75" s="301"/>
      <c r="G75" s="301"/>
    </row>
    <row r="76" spans="3:7" x14ac:dyDescent="0.2">
      <c r="C76" s="301"/>
      <c r="D76" s="301"/>
      <c r="E76" s="301"/>
      <c r="F76" s="301"/>
      <c r="G76" s="301"/>
    </row>
    <row r="77" spans="3:7" x14ac:dyDescent="0.2">
      <c r="C77" s="301"/>
      <c r="D77" s="301"/>
      <c r="E77" s="301"/>
      <c r="F77" s="301"/>
      <c r="G77" s="301"/>
    </row>
    <row r="78" spans="3:7" x14ac:dyDescent="0.2">
      <c r="C78" s="301"/>
      <c r="D78" s="301"/>
      <c r="E78" s="301"/>
      <c r="F78" s="301"/>
      <c r="G78" s="301"/>
    </row>
    <row r="79" spans="3:7" x14ac:dyDescent="0.2">
      <c r="C79" s="301"/>
      <c r="D79" s="301"/>
      <c r="E79" s="301"/>
      <c r="F79" s="301"/>
      <c r="G79" s="301"/>
    </row>
    <row r="80" spans="3:7" x14ac:dyDescent="0.2">
      <c r="C80" s="301"/>
      <c r="D80" s="301"/>
      <c r="E80" s="301"/>
      <c r="F80" s="301"/>
      <c r="G80" s="301"/>
    </row>
    <row r="81" spans="3:7" x14ac:dyDescent="0.2">
      <c r="C81" s="301"/>
      <c r="D81" s="301"/>
      <c r="E81" s="301"/>
      <c r="F81" s="301"/>
      <c r="G81" s="301"/>
    </row>
    <row r="82" spans="3:7" x14ac:dyDescent="0.2">
      <c r="C82" s="301"/>
      <c r="D82" s="301"/>
      <c r="E82" s="301"/>
      <c r="F82" s="301"/>
      <c r="G82" s="301"/>
    </row>
    <row r="83" spans="3:7" x14ac:dyDescent="0.2">
      <c r="C83" s="301"/>
      <c r="D83" s="301"/>
      <c r="E83" s="301"/>
      <c r="F83" s="301"/>
      <c r="G83" s="301"/>
    </row>
    <row r="84" spans="3:7" x14ac:dyDescent="0.2">
      <c r="C84" s="301"/>
      <c r="D84" s="301"/>
      <c r="E84" s="301"/>
      <c r="F84" s="301"/>
      <c r="G84" s="301"/>
    </row>
    <row r="85" spans="3:7" x14ac:dyDescent="0.2">
      <c r="C85" s="301"/>
      <c r="D85" s="301"/>
      <c r="E85" s="301"/>
      <c r="F85" s="301"/>
      <c r="G85" s="301"/>
    </row>
    <row r="86" spans="3:7" x14ac:dyDescent="0.2">
      <c r="C86" s="301"/>
      <c r="D86" s="301"/>
      <c r="E86" s="301"/>
      <c r="F86" s="301"/>
      <c r="G86" s="301"/>
    </row>
    <row r="87" spans="3:7" x14ac:dyDescent="0.2">
      <c r="C87" s="301"/>
      <c r="D87" s="301"/>
      <c r="E87" s="301"/>
      <c r="F87" s="301"/>
      <c r="G87" s="301"/>
    </row>
    <row r="88" spans="3:7" x14ac:dyDescent="0.2">
      <c r="C88" s="301"/>
      <c r="D88" s="301"/>
      <c r="E88" s="301"/>
      <c r="F88" s="301"/>
      <c r="G88" s="301"/>
    </row>
    <row r="89" spans="3:7" x14ac:dyDescent="0.2">
      <c r="C89" s="301"/>
      <c r="D89" s="301"/>
      <c r="E89" s="301"/>
      <c r="F89" s="301"/>
      <c r="G89" s="301"/>
    </row>
    <row r="90" spans="3:7" x14ac:dyDescent="0.2">
      <c r="C90" s="301"/>
      <c r="D90" s="301"/>
      <c r="E90" s="301"/>
      <c r="F90" s="301"/>
      <c r="G90" s="301"/>
    </row>
    <row r="91" spans="3:7" x14ac:dyDescent="0.2">
      <c r="C91" s="301"/>
      <c r="D91" s="301"/>
      <c r="E91" s="301"/>
      <c r="F91" s="301"/>
      <c r="G91" s="301"/>
    </row>
    <row r="92" spans="3:7" x14ac:dyDescent="0.2">
      <c r="C92" s="301"/>
      <c r="D92" s="301"/>
      <c r="E92" s="301"/>
      <c r="F92" s="301"/>
      <c r="G92" s="301"/>
    </row>
    <row r="93" spans="3:7" x14ac:dyDescent="0.2">
      <c r="C93" s="301"/>
      <c r="D93" s="301"/>
      <c r="E93" s="301"/>
      <c r="F93" s="301"/>
      <c r="G93" s="301"/>
    </row>
    <row r="94" spans="3:7" x14ac:dyDescent="0.2">
      <c r="C94" s="301"/>
      <c r="D94" s="301"/>
      <c r="E94" s="301"/>
      <c r="F94" s="301"/>
      <c r="G94" s="301"/>
    </row>
    <row r="95" spans="3:7" x14ac:dyDescent="0.2">
      <c r="C95" s="301"/>
      <c r="D95" s="301"/>
      <c r="E95" s="301"/>
      <c r="F95" s="301"/>
      <c r="G95" s="301"/>
    </row>
    <row r="96" spans="3:7" x14ac:dyDescent="0.2">
      <c r="C96" s="301"/>
      <c r="D96" s="301"/>
      <c r="E96" s="301"/>
      <c r="F96" s="301"/>
      <c r="G96" s="301"/>
    </row>
    <row r="97" spans="3:7" x14ac:dyDescent="0.2">
      <c r="C97" s="301"/>
      <c r="D97" s="301"/>
      <c r="E97" s="301"/>
      <c r="F97" s="301"/>
      <c r="G97" s="301"/>
    </row>
    <row r="98" spans="3:7" x14ac:dyDescent="0.2">
      <c r="C98" s="301"/>
      <c r="D98" s="301"/>
      <c r="E98" s="301"/>
      <c r="F98" s="301"/>
      <c r="G98" s="301"/>
    </row>
    <row r="99" spans="3:7" x14ac:dyDescent="0.2">
      <c r="C99" s="301"/>
      <c r="D99" s="301"/>
      <c r="E99" s="301"/>
      <c r="F99" s="301"/>
      <c r="G99" s="301"/>
    </row>
    <row r="100" spans="3:7" x14ac:dyDescent="0.2">
      <c r="C100" s="301"/>
      <c r="D100" s="301"/>
      <c r="E100" s="301"/>
      <c r="F100" s="301"/>
      <c r="G100" s="301"/>
    </row>
    <row r="101" spans="3:7" x14ac:dyDescent="0.2">
      <c r="C101" s="301"/>
      <c r="D101" s="301"/>
      <c r="E101" s="301"/>
      <c r="F101" s="301"/>
      <c r="G101" s="301"/>
    </row>
    <row r="102" spans="3:7" x14ac:dyDescent="0.2">
      <c r="C102" s="301"/>
      <c r="D102" s="301"/>
      <c r="E102" s="301"/>
      <c r="F102" s="301"/>
      <c r="G102" s="301"/>
    </row>
    <row r="103" spans="3:7" x14ac:dyDescent="0.2">
      <c r="C103" s="301"/>
      <c r="D103" s="301"/>
      <c r="E103" s="301"/>
      <c r="F103" s="301"/>
      <c r="G103" s="301"/>
    </row>
    <row r="104" spans="3:7" x14ac:dyDescent="0.2">
      <c r="C104" s="301"/>
      <c r="D104" s="301"/>
      <c r="E104" s="301"/>
      <c r="F104" s="301"/>
      <c r="G104" s="301"/>
    </row>
    <row r="105" spans="3:7" x14ac:dyDescent="0.2">
      <c r="C105" s="301"/>
      <c r="D105" s="301"/>
      <c r="E105" s="301"/>
      <c r="F105" s="301"/>
      <c r="G105" s="301"/>
    </row>
    <row r="106" spans="3:7" x14ac:dyDescent="0.2">
      <c r="C106" s="301"/>
      <c r="D106" s="301"/>
      <c r="E106" s="301"/>
      <c r="F106" s="301"/>
      <c r="G106" s="301"/>
    </row>
    <row r="107" spans="3:7" x14ac:dyDescent="0.2">
      <c r="C107" s="301"/>
      <c r="D107" s="301"/>
      <c r="E107" s="301"/>
      <c r="F107" s="301"/>
      <c r="G107" s="301"/>
    </row>
    <row r="108" spans="3:7" x14ac:dyDescent="0.2">
      <c r="C108" s="301"/>
      <c r="D108" s="301"/>
      <c r="E108" s="301"/>
      <c r="F108" s="301"/>
      <c r="G108" s="301"/>
    </row>
    <row r="109" spans="3:7" x14ac:dyDescent="0.2">
      <c r="C109" s="301"/>
      <c r="D109" s="301"/>
      <c r="E109" s="301"/>
      <c r="F109" s="301"/>
      <c r="G109" s="301"/>
    </row>
    <row r="110" spans="3:7" x14ac:dyDescent="0.2">
      <c r="C110" s="301"/>
      <c r="D110" s="301"/>
      <c r="E110" s="301"/>
      <c r="F110" s="301"/>
      <c r="G110" s="301"/>
    </row>
    <row r="111" spans="3:7" x14ac:dyDescent="0.2">
      <c r="C111" s="301"/>
      <c r="D111" s="301"/>
      <c r="E111" s="301"/>
      <c r="F111" s="301"/>
      <c r="G111" s="301"/>
    </row>
    <row r="112" spans="3:7" x14ac:dyDescent="0.2">
      <c r="C112" s="301"/>
      <c r="D112" s="301"/>
      <c r="E112" s="301"/>
      <c r="F112" s="301"/>
      <c r="G112" s="301"/>
    </row>
    <row r="113" spans="3:7" x14ac:dyDescent="0.2">
      <c r="C113" s="301"/>
      <c r="D113" s="301"/>
      <c r="E113" s="301"/>
      <c r="F113" s="301"/>
      <c r="G113" s="301"/>
    </row>
    <row r="114" spans="3:7" x14ac:dyDescent="0.2">
      <c r="C114" s="301"/>
      <c r="D114" s="301"/>
      <c r="E114" s="301"/>
      <c r="F114" s="301"/>
      <c r="G114" s="301"/>
    </row>
    <row r="115" spans="3:7" x14ac:dyDescent="0.2">
      <c r="C115" s="301"/>
      <c r="D115" s="301"/>
      <c r="E115" s="301"/>
      <c r="F115" s="301"/>
      <c r="G115" s="301"/>
    </row>
    <row r="116" spans="3:7" x14ac:dyDescent="0.2">
      <c r="C116" s="301"/>
      <c r="D116" s="301"/>
      <c r="E116" s="301"/>
      <c r="F116" s="301"/>
      <c r="G116" s="301"/>
    </row>
    <row r="117" spans="3:7" x14ac:dyDescent="0.2">
      <c r="C117" s="301"/>
      <c r="D117" s="301"/>
      <c r="E117" s="301"/>
      <c r="F117" s="301"/>
      <c r="G117" s="301"/>
    </row>
    <row r="118" spans="3:7" x14ac:dyDescent="0.2">
      <c r="C118" s="301"/>
      <c r="D118" s="301"/>
      <c r="E118" s="301"/>
      <c r="F118" s="301"/>
      <c r="G118" s="301"/>
    </row>
    <row r="119" spans="3:7" x14ac:dyDescent="0.2">
      <c r="C119" s="301"/>
      <c r="D119" s="301"/>
      <c r="E119" s="301"/>
      <c r="F119" s="301"/>
      <c r="G119" s="301"/>
    </row>
    <row r="120" spans="3:7" x14ac:dyDescent="0.2">
      <c r="C120" s="301"/>
      <c r="D120" s="301"/>
      <c r="E120" s="301"/>
      <c r="F120" s="301"/>
      <c r="G120" s="301"/>
    </row>
    <row r="121" spans="3:7" x14ac:dyDescent="0.2">
      <c r="C121" s="301"/>
      <c r="D121" s="301"/>
      <c r="E121" s="301"/>
      <c r="F121" s="301"/>
      <c r="G121" s="301"/>
    </row>
    <row r="122" spans="3:7" x14ac:dyDescent="0.2">
      <c r="C122" s="301"/>
      <c r="D122" s="301"/>
      <c r="E122" s="301"/>
      <c r="F122" s="301"/>
      <c r="G122" s="301"/>
    </row>
    <row r="123" spans="3:7" x14ac:dyDescent="0.2">
      <c r="C123" s="301"/>
      <c r="D123" s="301"/>
      <c r="E123" s="301"/>
      <c r="F123" s="301"/>
      <c r="G123" s="301"/>
    </row>
    <row r="124" spans="3:7" x14ac:dyDescent="0.2">
      <c r="C124" s="301"/>
      <c r="D124" s="301"/>
      <c r="E124" s="301"/>
      <c r="F124" s="301"/>
      <c r="G124" s="301"/>
    </row>
    <row r="125" spans="3:7" x14ac:dyDescent="0.2">
      <c r="C125" s="301"/>
      <c r="D125" s="301"/>
      <c r="E125" s="301"/>
      <c r="F125" s="301"/>
      <c r="G125" s="301"/>
    </row>
    <row r="126" spans="3:7" x14ac:dyDescent="0.2">
      <c r="C126" s="301"/>
      <c r="D126" s="301"/>
      <c r="E126" s="301"/>
      <c r="F126" s="301"/>
      <c r="G126" s="301"/>
    </row>
    <row r="127" spans="3:7" x14ac:dyDescent="0.2">
      <c r="C127" s="301"/>
      <c r="D127" s="301"/>
      <c r="E127" s="301"/>
      <c r="F127" s="301"/>
      <c r="G127" s="301"/>
    </row>
    <row r="128" spans="3:7" x14ac:dyDescent="0.2">
      <c r="C128" s="301"/>
      <c r="D128" s="301"/>
      <c r="E128" s="301"/>
      <c r="F128" s="301"/>
      <c r="G128" s="301"/>
    </row>
    <row r="129" spans="3:7" x14ac:dyDescent="0.2">
      <c r="C129" s="301"/>
      <c r="D129" s="301"/>
      <c r="E129" s="301"/>
      <c r="F129" s="301"/>
      <c r="G129" s="301"/>
    </row>
    <row r="130" spans="3:7" x14ac:dyDescent="0.2">
      <c r="C130" s="301"/>
      <c r="D130" s="301"/>
      <c r="E130" s="301"/>
      <c r="F130" s="301"/>
      <c r="G130" s="301"/>
    </row>
    <row r="131" spans="3:7" x14ac:dyDescent="0.2">
      <c r="C131" s="301"/>
      <c r="D131" s="301"/>
      <c r="E131" s="301"/>
      <c r="F131" s="301"/>
      <c r="G131" s="301"/>
    </row>
    <row r="132" spans="3:7" x14ac:dyDescent="0.2">
      <c r="C132" s="301"/>
      <c r="D132" s="301"/>
      <c r="E132" s="301"/>
      <c r="F132" s="301"/>
      <c r="G132" s="301"/>
    </row>
    <row r="133" spans="3:7" x14ac:dyDescent="0.2">
      <c r="C133" s="301"/>
      <c r="D133" s="301"/>
      <c r="E133" s="301"/>
      <c r="F133" s="301"/>
      <c r="G133" s="301"/>
    </row>
    <row r="134" spans="3:7" x14ac:dyDescent="0.2">
      <c r="C134" s="301"/>
      <c r="D134" s="301"/>
      <c r="E134" s="301"/>
      <c r="F134" s="301"/>
      <c r="G134" s="301"/>
    </row>
    <row r="135" spans="3:7" x14ac:dyDescent="0.2">
      <c r="C135" s="301"/>
      <c r="D135" s="301"/>
      <c r="E135" s="301"/>
      <c r="F135" s="301"/>
      <c r="G135" s="301"/>
    </row>
    <row r="136" spans="3:7" x14ac:dyDescent="0.2">
      <c r="C136" s="301"/>
      <c r="D136" s="301"/>
      <c r="E136" s="301"/>
      <c r="F136" s="301"/>
      <c r="G136" s="301"/>
    </row>
    <row r="137" spans="3:7" x14ac:dyDescent="0.2">
      <c r="C137" s="301"/>
      <c r="D137" s="301"/>
      <c r="E137" s="301"/>
      <c r="F137" s="301"/>
      <c r="G137" s="301"/>
    </row>
    <row r="138" spans="3:7" x14ac:dyDescent="0.2">
      <c r="C138" s="301"/>
      <c r="D138" s="301"/>
      <c r="E138" s="301"/>
      <c r="F138" s="301"/>
      <c r="G138" s="301"/>
    </row>
    <row r="139" spans="3:7" x14ac:dyDescent="0.2">
      <c r="C139" s="301"/>
      <c r="D139" s="301"/>
      <c r="E139" s="301"/>
      <c r="F139" s="301"/>
      <c r="G139" s="301"/>
    </row>
    <row r="140" spans="3:7" x14ac:dyDescent="0.2">
      <c r="C140" s="301"/>
      <c r="D140" s="301"/>
      <c r="E140" s="301"/>
      <c r="F140" s="301"/>
      <c r="G140" s="301"/>
    </row>
    <row r="141" spans="3:7" x14ac:dyDescent="0.2">
      <c r="C141" s="301"/>
      <c r="D141" s="301"/>
      <c r="E141" s="301"/>
      <c r="F141" s="301"/>
      <c r="G141" s="301"/>
    </row>
    <row r="142" spans="3:7" x14ac:dyDescent="0.2">
      <c r="C142" s="301"/>
      <c r="D142" s="301"/>
      <c r="E142" s="301"/>
      <c r="F142" s="301"/>
      <c r="G142" s="301"/>
    </row>
    <row r="143" spans="3:7" x14ac:dyDescent="0.2">
      <c r="C143" s="301"/>
      <c r="D143" s="301"/>
      <c r="E143" s="301"/>
      <c r="F143" s="301"/>
      <c r="G143" s="301"/>
    </row>
    <row r="144" spans="3:7" x14ac:dyDescent="0.2">
      <c r="C144" s="301"/>
      <c r="D144" s="301"/>
      <c r="E144" s="301"/>
      <c r="F144" s="301"/>
      <c r="G144" s="301"/>
    </row>
    <row r="145" spans="3:7" x14ac:dyDescent="0.2">
      <c r="C145" s="301"/>
      <c r="D145" s="301"/>
      <c r="E145" s="301"/>
      <c r="F145" s="301"/>
      <c r="G145" s="301"/>
    </row>
    <row r="146" spans="3:7" x14ac:dyDescent="0.2">
      <c r="C146" s="301"/>
      <c r="D146" s="301"/>
      <c r="E146" s="301"/>
      <c r="F146" s="301"/>
      <c r="G146" s="301"/>
    </row>
    <row r="147" spans="3:7" x14ac:dyDescent="0.2">
      <c r="C147" s="301"/>
      <c r="D147" s="301"/>
      <c r="E147" s="301"/>
      <c r="F147" s="301"/>
      <c r="G147" s="301"/>
    </row>
    <row r="148" spans="3:7" x14ac:dyDescent="0.2">
      <c r="C148" s="301"/>
      <c r="D148" s="301"/>
      <c r="E148" s="301"/>
      <c r="F148" s="301"/>
      <c r="G148" s="301"/>
    </row>
    <row r="149" spans="3:7" x14ac:dyDescent="0.2">
      <c r="C149" s="301"/>
      <c r="D149" s="301"/>
      <c r="E149" s="301"/>
      <c r="F149" s="301"/>
      <c r="G149" s="301"/>
    </row>
    <row r="150" spans="3:7" x14ac:dyDescent="0.2">
      <c r="C150" s="301"/>
      <c r="D150" s="301"/>
      <c r="E150" s="301"/>
      <c r="F150" s="301"/>
      <c r="G150" s="301"/>
    </row>
    <row r="151" spans="3:7" x14ac:dyDescent="0.2">
      <c r="C151" s="301"/>
      <c r="D151" s="301"/>
      <c r="E151" s="301"/>
      <c r="F151" s="301"/>
      <c r="G151" s="301"/>
    </row>
    <row r="152" spans="3:7" x14ac:dyDescent="0.2">
      <c r="C152" s="301"/>
      <c r="D152" s="301"/>
      <c r="E152" s="301"/>
      <c r="F152" s="301"/>
      <c r="G152" s="301"/>
    </row>
    <row r="153" spans="3:7" x14ac:dyDescent="0.2">
      <c r="C153" s="301"/>
      <c r="D153" s="301"/>
      <c r="E153" s="301"/>
      <c r="F153" s="301"/>
      <c r="G153" s="301"/>
    </row>
    <row r="154" spans="3:7" x14ac:dyDescent="0.2">
      <c r="C154" s="301"/>
      <c r="D154" s="301"/>
      <c r="E154" s="301"/>
      <c r="F154" s="301"/>
      <c r="G154" s="301"/>
    </row>
    <row r="155" spans="3:7" x14ac:dyDescent="0.2">
      <c r="C155" s="301"/>
      <c r="D155" s="301"/>
      <c r="E155" s="301"/>
      <c r="F155" s="301"/>
      <c r="G155" s="301"/>
    </row>
    <row r="156" spans="3:7" x14ac:dyDescent="0.2">
      <c r="C156" s="301"/>
      <c r="D156" s="301"/>
      <c r="E156" s="301"/>
      <c r="F156" s="301"/>
      <c r="G156" s="301"/>
    </row>
    <row r="157" spans="3:7" x14ac:dyDescent="0.2">
      <c r="C157" s="301"/>
      <c r="D157" s="301"/>
      <c r="E157" s="301"/>
      <c r="F157" s="301"/>
      <c r="G157" s="301"/>
    </row>
    <row r="158" spans="3:7" x14ac:dyDescent="0.2">
      <c r="C158" s="301"/>
      <c r="D158" s="301"/>
      <c r="E158" s="301"/>
      <c r="F158" s="301"/>
      <c r="G158" s="301"/>
    </row>
    <row r="159" spans="3:7" x14ac:dyDescent="0.2">
      <c r="C159" s="301"/>
      <c r="D159" s="301"/>
      <c r="E159" s="301"/>
      <c r="F159" s="301"/>
      <c r="G159" s="301"/>
    </row>
    <row r="160" spans="3:7" x14ac:dyDescent="0.2">
      <c r="C160" s="301"/>
      <c r="D160" s="301"/>
      <c r="E160" s="301"/>
      <c r="F160" s="301"/>
      <c r="G160" s="301"/>
    </row>
    <row r="161" spans="3:7" x14ac:dyDescent="0.2">
      <c r="C161" s="301"/>
      <c r="D161" s="301"/>
      <c r="E161" s="301"/>
      <c r="F161" s="301"/>
      <c r="G161" s="301"/>
    </row>
    <row r="162" spans="3:7" x14ac:dyDescent="0.2">
      <c r="C162" s="301"/>
      <c r="D162" s="301"/>
      <c r="E162" s="301"/>
      <c r="F162" s="301"/>
      <c r="G162" s="301"/>
    </row>
    <row r="163" spans="3:7" x14ac:dyDescent="0.2">
      <c r="C163" s="301"/>
      <c r="D163" s="301"/>
      <c r="E163" s="301"/>
      <c r="F163" s="301"/>
      <c r="G163" s="301"/>
    </row>
    <row r="164" spans="3:7" x14ac:dyDescent="0.2">
      <c r="C164" s="301"/>
      <c r="D164" s="301"/>
      <c r="E164" s="301"/>
      <c r="F164" s="301"/>
      <c r="G164" s="301"/>
    </row>
    <row r="165" spans="3:7" x14ac:dyDescent="0.2">
      <c r="C165" s="301"/>
      <c r="D165" s="301"/>
      <c r="E165" s="301"/>
      <c r="F165" s="301"/>
      <c r="G165" s="301"/>
    </row>
    <row r="166" spans="3:7" x14ac:dyDescent="0.2">
      <c r="C166" s="301"/>
      <c r="D166" s="301"/>
      <c r="E166" s="301"/>
      <c r="F166" s="301"/>
      <c r="G166" s="301"/>
    </row>
    <row r="167" spans="3:7" x14ac:dyDescent="0.2">
      <c r="C167" s="301"/>
      <c r="D167" s="301"/>
      <c r="E167" s="301"/>
      <c r="F167" s="301"/>
      <c r="G167" s="301"/>
    </row>
    <row r="168" spans="3:7" x14ac:dyDescent="0.2">
      <c r="C168" s="301"/>
      <c r="D168" s="301"/>
      <c r="E168" s="301"/>
      <c r="F168" s="301"/>
      <c r="G168" s="301"/>
    </row>
    <row r="169" spans="3:7" x14ac:dyDescent="0.2">
      <c r="C169" s="301"/>
      <c r="D169" s="301"/>
      <c r="E169" s="301"/>
      <c r="F169" s="301"/>
      <c r="G169" s="301"/>
    </row>
    <row r="170" spans="3:7" x14ac:dyDescent="0.2">
      <c r="C170" s="301"/>
      <c r="D170" s="301"/>
      <c r="E170" s="301"/>
      <c r="F170" s="301"/>
      <c r="G170" s="301"/>
    </row>
    <row r="171" spans="3:7" x14ac:dyDescent="0.2">
      <c r="C171" s="301"/>
      <c r="D171" s="301"/>
      <c r="E171" s="301"/>
      <c r="F171" s="301"/>
      <c r="G171" s="301"/>
    </row>
    <row r="172" spans="3:7" x14ac:dyDescent="0.2">
      <c r="C172" s="301"/>
      <c r="D172" s="301"/>
      <c r="E172" s="301"/>
      <c r="F172" s="301"/>
      <c r="G172" s="301"/>
    </row>
    <row r="173" spans="3:7" x14ac:dyDescent="0.2">
      <c r="C173" s="301"/>
      <c r="D173" s="301"/>
      <c r="E173" s="301"/>
      <c r="F173" s="301"/>
      <c r="G173" s="301"/>
    </row>
    <row r="174" spans="3:7" x14ac:dyDescent="0.2">
      <c r="C174" s="301"/>
      <c r="D174" s="301"/>
      <c r="E174" s="301"/>
      <c r="F174" s="301"/>
      <c r="G174" s="301"/>
    </row>
    <row r="175" spans="3:7" x14ac:dyDescent="0.2">
      <c r="C175" s="301"/>
      <c r="D175" s="301"/>
      <c r="E175" s="301"/>
      <c r="F175" s="301"/>
      <c r="G175" s="301"/>
    </row>
    <row r="176" spans="3:7" x14ac:dyDescent="0.2">
      <c r="C176" s="301"/>
      <c r="D176" s="301"/>
      <c r="E176" s="301"/>
      <c r="F176" s="301"/>
      <c r="G176" s="301"/>
    </row>
    <row r="177" spans="3:7" x14ac:dyDescent="0.2">
      <c r="C177" s="301"/>
      <c r="D177" s="301"/>
      <c r="E177" s="301"/>
      <c r="F177" s="301"/>
      <c r="G177" s="301"/>
    </row>
    <row r="178" spans="3:7" x14ac:dyDescent="0.2">
      <c r="C178" s="301"/>
      <c r="D178" s="301"/>
      <c r="E178" s="301"/>
      <c r="F178" s="301"/>
      <c r="G178" s="301"/>
    </row>
    <row r="179" spans="3:7" x14ac:dyDescent="0.2">
      <c r="C179" s="301"/>
      <c r="D179" s="301"/>
      <c r="E179" s="301"/>
      <c r="F179" s="301"/>
      <c r="G179" s="301"/>
    </row>
    <row r="180" spans="3:7" x14ac:dyDescent="0.2">
      <c r="C180" s="301"/>
      <c r="D180" s="301"/>
      <c r="E180" s="301"/>
      <c r="F180" s="301"/>
      <c r="G180" s="301"/>
    </row>
    <row r="181" spans="3:7" x14ac:dyDescent="0.2">
      <c r="C181" s="301"/>
      <c r="D181" s="301"/>
      <c r="E181" s="301"/>
      <c r="F181" s="301"/>
      <c r="G181" s="301"/>
    </row>
    <row r="182" spans="3:7" x14ac:dyDescent="0.2">
      <c r="C182" s="301"/>
      <c r="D182" s="301"/>
      <c r="E182" s="301"/>
      <c r="F182" s="301"/>
      <c r="G182" s="301"/>
    </row>
    <row r="183" spans="3:7" x14ac:dyDescent="0.2">
      <c r="C183" s="301"/>
      <c r="D183" s="301"/>
      <c r="E183" s="301"/>
      <c r="F183" s="301"/>
      <c r="G183" s="301"/>
    </row>
    <row r="184" spans="3:7" x14ac:dyDescent="0.2">
      <c r="C184" s="301"/>
      <c r="D184" s="301"/>
      <c r="E184" s="301"/>
      <c r="F184" s="301"/>
      <c r="G184" s="301"/>
    </row>
    <row r="185" spans="3:7" x14ac:dyDescent="0.2">
      <c r="C185" s="301"/>
      <c r="D185" s="301"/>
      <c r="E185" s="301"/>
      <c r="F185" s="301"/>
      <c r="G185" s="301"/>
    </row>
    <row r="186" spans="3:7" x14ac:dyDescent="0.2">
      <c r="C186" s="301"/>
      <c r="D186" s="301"/>
      <c r="E186" s="301"/>
      <c r="F186" s="301"/>
      <c r="G186" s="301"/>
    </row>
    <row r="187" spans="3:7" x14ac:dyDescent="0.2">
      <c r="C187" s="301"/>
      <c r="D187" s="301"/>
      <c r="E187" s="301"/>
      <c r="F187" s="301"/>
      <c r="G187" s="301"/>
    </row>
    <row r="188" spans="3:7" x14ac:dyDescent="0.2">
      <c r="C188" s="301"/>
      <c r="D188" s="301"/>
      <c r="E188" s="301"/>
      <c r="F188" s="301"/>
      <c r="G188" s="301"/>
    </row>
    <row r="189" spans="3:7" x14ac:dyDescent="0.2">
      <c r="C189" s="301"/>
      <c r="D189" s="301"/>
      <c r="E189" s="301"/>
      <c r="F189" s="301"/>
      <c r="G189" s="301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31" zoomScale="60" zoomScaleNormal="100" workbookViewId="0">
      <selection activeCell="A3" sqref="A3:M35"/>
    </sheetView>
  </sheetViews>
  <sheetFormatPr defaultRowHeight="14.25" x14ac:dyDescent="0.2"/>
  <cols>
    <col min="1" max="1" width="5.42578125" style="155" bestFit="1" customWidth="1"/>
    <col min="2" max="2" width="38.42578125" style="155" customWidth="1"/>
    <col min="3" max="3" width="10.85546875" style="155" bestFit="1" customWidth="1"/>
    <col min="4" max="13" width="11.28515625" style="155" bestFit="1" customWidth="1"/>
    <col min="14" max="16384" width="9.140625" style="155"/>
  </cols>
  <sheetData>
    <row r="1" spans="1:13" ht="15" x14ac:dyDescent="0.25">
      <c r="A1" s="384" t="s">
        <v>319</v>
      </c>
      <c r="B1" s="385"/>
      <c r="C1" s="385"/>
      <c r="D1" s="385"/>
      <c r="E1" s="385"/>
      <c r="F1" s="385"/>
      <c r="G1" s="385"/>
      <c r="H1" s="385"/>
      <c r="I1" s="385"/>
      <c r="J1" s="385"/>
    </row>
    <row r="3" spans="1:13" ht="15" x14ac:dyDescent="0.25">
      <c r="A3" s="172" t="s">
        <v>642</v>
      </c>
      <c r="B3" s="172" t="s">
        <v>1</v>
      </c>
      <c r="C3" s="172" t="s">
        <v>445</v>
      </c>
      <c r="D3" s="172" t="s">
        <v>36</v>
      </c>
      <c r="E3" s="172" t="s">
        <v>37</v>
      </c>
      <c r="F3" s="172" t="s">
        <v>38</v>
      </c>
      <c r="G3" s="172" t="s">
        <v>39</v>
      </c>
      <c r="H3" s="172" t="s">
        <v>40</v>
      </c>
      <c r="I3" s="172" t="s">
        <v>41</v>
      </c>
      <c r="J3" s="172" t="s">
        <v>42</v>
      </c>
      <c r="K3" s="172" t="s">
        <v>494</v>
      </c>
      <c r="L3" s="172" t="s">
        <v>495</v>
      </c>
      <c r="M3" s="172" t="s">
        <v>496</v>
      </c>
    </row>
    <row r="4" spans="1:13" ht="15" x14ac:dyDescent="0.25">
      <c r="A4" s="173">
        <v>1</v>
      </c>
      <c r="B4" s="173" t="s">
        <v>320</v>
      </c>
      <c r="C4" s="173"/>
      <c r="D4" s="174"/>
      <c r="E4" s="174"/>
      <c r="F4" s="174"/>
      <c r="G4" s="174"/>
      <c r="H4" s="174"/>
      <c r="I4" s="115"/>
      <c r="J4" s="115"/>
      <c r="K4" s="115"/>
      <c r="L4" s="115"/>
      <c r="M4" s="115"/>
    </row>
    <row r="5" spans="1:13" ht="15" x14ac:dyDescent="0.25">
      <c r="A5" s="173"/>
      <c r="B5" s="173" t="s">
        <v>321</v>
      </c>
      <c r="C5" s="175">
        <v>0</v>
      </c>
      <c r="D5" s="176">
        <f>'P&amp;L'!B9</f>
        <v>152.63</v>
      </c>
      <c r="E5" s="176">
        <f>'P&amp;L'!C9</f>
        <v>180.69059999999999</v>
      </c>
      <c r="F5" s="176">
        <f>'P&amp;L'!D9</f>
        <v>207.98859999999999</v>
      </c>
      <c r="G5" s="176">
        <f>'P&amp;L'!E9</f>
        <v>237.74450000000004</v>
      </c>
      <c r="H5" s="176">
        <f>'P&amp;L'!F9</f>
        <v>268.40039999999999</v>
      </c>
      <c r="I5" s="176">
        <f>'P&amp;L'!G9</f>
        <v>303.50390000000004</v>
      </c>
      <c r="J5" s="176">
        <f>'P&amp;L'!H9</f>
        <v>340.48440000000011</v>
      </c>
      <c r="K5" s="176">
        <f>'P&amp;L'!I9</f>
        <v>381.08920000000006</v>
      </c>
      <c r="L5" s="176">
        <f>'P&amp;L'!J9</f>
        <v>424.38060000000007</v>
      </c>
      <c r="M5" s="176">
        <f>'P&amp;L'!K9</f>
        <v>471.7681</v>
      </c>
    </row>
    <row r="6" spans="1:13" ht="15" x14ac:dyDescent="0.25">
      <c r="A6" s="173">
        <v>2</v>
      </c>
      <c r="B6" s="173" t="s">
        <v>322</v>
      </c>
      <c r="C6" s="177">
        <f>BS!B20</f>
        <v>0</v>
      </c>
      <c r="D6" s="178"/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</row>
    <row r="7" spans="1:13" ht="15" x14ac:dyDescent="0.25">
      <c r="A7" s="173">
        <v>3</v>
      </c>
      <c r="B7" s="173" t="s">
        <v>296</v>
      </c>
      <c r="C7" s="177">
        <f>BS!B7</f>
        <v>84.550733333333355</v>
      </c>
      <c r="D7" s="178"/>
      <c r="E7" s="178">
        <v>0</v>
      </c>
      <c r="F7" s="178">
        <v>0</v>
      </c>
      <c r="G7" s="174">
        <v>0</v>
      </c>
      <c r="H7" s="174">
        <v>0</v>
      </c>
      <c r="I7" s="174">
        <v>0</v>
      </c>
      <c r="J7" s="174">
        <v>0</v>
      </c>
      <c r="K7" s="174">
        <v>0</v>
      </c>
      <c r="L7" s="174">
        <v>0</v>
      </c>
      <c r="M7" s="174">
        <v>0</v>
      </c>
    </row>
    <row r="8" spans="1:13" ht="15" x14ac:dyDescent="0.25">
      <c r="A8" s="173">
        <v>4</v>
      </c>
      <c r="B8" s="173" t="s">
        <v>323</v>
      </c>
      <c r="C8" s="173"/>
      <c r="D8" s="178">
        <f>BS!C21</f>
        <v>7.1458000000000013</v>
      </c>
      <c r="E8" s="178">
        <f>BS!D21-BS!C21</f>
        <v>2.1931231249999978</v>
      </c>
      <c r="F8" s="178">
        <f>BS!E21-BS!D21</f>
        <v>1.596424906250002</v>
      </c>
      <c r="G8" s="178">
        <f>BS!F21-BS!E21</f>
        <v>1.1573105265624974</v>
      </c>
      <c r="H8" s="178">
        <f>BS!G21-BS!F21</f>
        <v>1.9607348028906255</v>
      </c>
      <c r="I8" s="178">
        <f>BS!H21-BS!G21</f>
        <v>1.9504334180351623</v>
      </c>
      <c r="J8" s="178">
        <f>BS!I21-BS!H21</f>
        <v>2.0695479014369162</v>
      </c>
      <c r="K8" s="178">
        <f>BS!J21-BS!I21</f>
        <v>2.7649943590087531</v>
      </c>
      <c r="L8" s="178">
        <f>BS!K21-BS!J21</f>
        <v>2.1501509519591906</v>
      </c>
      <c r="M8" s="178">
        <f>BS!L21-BS!K21</f>
        <v>2.8063828745571655</v>
      </c>
    </row>
    <row r="9" spans="1:13" ht="15" x14ac:dyDescent="0.25">
      <c r="A9" s="173">
        <v>5</v>
      </c>
      <c r="B9" s="253" t="s">
        <v>324</v>
      </c>
      <c r="C9" s="177">
        <f>BS!B13</f>
        <v>123.25320000000001</v>
      </c>
      <c r="D9" s="178">
        <v>0</v>
      </c>
      <c r="E9" s="178">
        <v>0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</row>
    <row r="10" spans="1:13" ht="15" x14ac:dyDescent="0.25">
      <c r="A10" s="173">
        <v>6</v>
      </c>
      <c r="B10" s="173" t="s">
        <v>325</v>
      </c>
      <c r="C10" s="173"/>
      <c r="D10" s="178">
        <f>BS!C22</f>
        <v>11.501433333333333</v>
      </c>
      <c r="E10" s="178">
        <f>BS!D22-BS!C22</f>
        <v>1.2157191666666662</v>
      </c>
      <c r="F10" s="178">
        <f>BS!E22-BS!D22</f>
        <v>1.6673667916666659</v>
      </c>
      <c r="G10" s="178">
        <f>BS!F22-BS!E22</f>
        <v>1.7387776312500041</v>
      </c>
      <c r="H10" s="178">
        <f>BS!G22-BS!F22</f>
        <v>1.9472452628124977</v>
      </c>
      <c r="I10" s="178">
        <f>BS!H22-BS!G22</f>
        <v>2.0560137759531258</v>
      </c>
      <c r="J10" s="178">
        <f>BS!I22-BS!H22</f>
        <v>2.2160111314174493</v>
      </c>
      <c r="K10" s="178">
        <f>BS!J22-BS!I22</f>
        <v>2.3436741879883201</v>
      </c>
      <c r="L10" s="178">
        <f>BS!K22-BS!J22</f>
        <v>2.4572487307210729</v>
      </c>
      <c r="M10" s="178">
        <f>BS!L22-BS!K22</f>
        <v>2.723614500590454</v>
      </c>
    </row>
    <row r="11" spans="1:13" ht="15" x14ac:dyDescent="0.25">
      <c r="A11" s="173"/>
      <c r="B11" s="173"/>
      <c r="C11" s="173"/>
      <c r="D11" s="174"/>
      <c r="E11" s="174"/>
      <c r="F11" s="174"/>
      <c r="G11" s="174"/>
      <c r="H11" s="174"/>
      <c r="I11" s="115"/>
      <c r="J11" s="115"/>
      <c r="K11" s="115"/>
      <c r="L11" s="115"/>
      <c r="M11" s="115"/>
    </row>
    <row r="12" spans="1:13" ht="15" x14ac:dyDescent="0.25">
      <c r="A12" s="173"/>
      <c r="B12" s="173" t="s">
        <v>326</v>
      </c>
      <c r="C12" s="179">
        <f>SUM(C5:C11)</f>
        <v>207.80393333333336</v>
      </c>
      <c r="D12" s="179">
        <f>SUM(D5:D11)</f>
        <v>171.27723333333333</v>
      </c>
      <c r="E12" s="179">
        <f t="shared" ref="E12:M12" si="0">SUM(E5:E11)</f>
        <v>184.09944229166666</v>
      </c>
      <c r="F12" s="179">
        <f t="shared" si="0"/>
        <v>211.25239169791666</v>
      </c>
      <c r="G12" s="179">
        <f t="shared" si="0"/>
        <v>240.64058815781254</v>
      </c>
      <c r="H12" s="179">
        <f t="shared" si="0"/>
        <v>272.30838006570309</v>
      </c>
      <c r="I12" s="179">
        <f t="shared" si="0"/>
        <v>307.51034719398837</v>
      </c>
      <c r="J12" s="179">
        <f t="shared" si="0"/>
        <v>344.7699590328545</v>
      </c>
      <c r="K12" s="179">
        <f t="shared" si="0"/>
        <v>386.19786854699714</v>
      </c>
      <c r="L12" s="179">
        <f t="shared" si="0"/>
        <v>428.98799968268031</v>
      </c>
      <c r="M12" s="179">
        <f t="shared" si="0"/>
        <v>477.29809737514762</v>
      </c>
    </row>
    <row r="13" spans="1:13" ht="15" customHeight="1" x14ac:dyDescent="0.25">
      <c r="B13" s="173" t="s">
        <v>327</v>
      </c>
      <c r="C13" s="180"/>
      <c r="D13" s="181"/>
      <c r="E13" s="181"/>
      <c r="F13" s="181"/>
      <c r="G13" s="181"/>
      <c r="H13" s="181"/>
      <c r="I13" s="115"/>
      <c r="J13" s="115"/>
      <c r="K13" s="115"/>
      <c r="L13" s="115"/>
      <c r="M13" s="115"/>
    </row>
    <row r="14" spans="1:13" ht="15" x14ac:dyDescent="0.25">
      <c r="A14" s="173">
        <v>1</v>
      </c>
      <c r="B14" s="173" t="s">
        <v>328</v>
      </c>
      <c r="C14" s="173"/>
      <c r="D14" s="181"/>
      <c r="E14" s="181"/>
      <c r="F14" s="181"/>
      <c r="G14" s="181"/>
      <c r="H14" s="181"/>
      <c r="I14" s="115"/>
      <c r="J14" s="115"/>
      <c r="K14" s="115"/>
      <c r="L14" s="115"/>
      <c r="M14" s="115"/>
    </row>
    <row r="15" spans="1:13" x14ac:dyDescent="0.2">
      <c r="A15" s="182" t="s">
        <v>329</v>
      </c>
      <c r="B15" s="181" t="s">
        <v>430</v>
      </c>
      <c r="C15" s="183">
        <f>'Project Glance'!B6+'Project Glance'!B7+'Project Glance'!B8+'Project Glance'!B9</f>
        <v>195.64000000000001</v>
      </c>
      <c r="D15" s="178">
        <v>0</v>
      </c>
      <c r="E15" s="174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</row>
    <row r="16" spans="1:13" x14ac:dyDescent="0.2">
      <c r="A16" s="182" t="s">
        <v>330</v>
      </c>
      <c r="B16" s="181" t="s">
        <v>332</v>
      </c>
      <c r="C16" s="183">
        <f>'Project Glance'!B10</f>
        <v>9.7820000000000018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</row>
    <row r="17" spans="1:13" x14ac:dyDescent="0.2">
      <c r="A17" s="182" t="s">
        <v>331</v>
      </c>
      <c r="B17" s="181" t="s">
        <v>21</v>
      </c>
      <c r="C17" s="183">
        <f>'Project Glance'!B12</f>
        <v>0</v>
      </c>
      <c r="D17" s="178">
        <v>0</v>
      </c>
      <c r="E17" s="178">
        <v>0</v>
      </c>
      <c r="F17" s="178">
        <v>0</v>
      </c>
      <c r="G17" s="178">
        <v>0</v>
      </c>
      <c r="H17" s="178">
        <v>0</v>
      </c>
      <c r="I17" s="178">
        <v>0</v>
      </c>
      <c r="J17" s="178">
        <v>0</v>
      </c>
      <c r="K17" s="178">
        <v>0</v>
      </c>
      <c r="L17" s="178">
        <v>0</v>
      </c>
      <c r="M17" s="178">
        <v>0</v>
      </c>
    </row>
    <row r="18" spans="1:13" x14ac:dyDescent="0.2">
      <c r="A18" s="182" t="s">
        <v>431</v>
      </c>
      <c r="B18" s="181" t="s">
        <v>432</v>
      </c>
      <c r="C18" s="183">
        <f>'Project Glance'!B11</f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</row>
    <row r="19" spans="1:13" x14ac:dyDescent="0.2">
      <c r="A19" s="182"/>
      <c r="B19" s="181"/>
      <c r="C19" s="181"/>
      <c r="D19" s="178"/>
      <c r="E19" s="178"/>
      <c r="F19" s="178"/>
      <c r="G19" s="178"/>
      <c r="H19" s="178"/>
      <c r="I19" s="178"/>
      <c r="J19" s="178"/>
      <c r="K19" s="115"/>
      <c r="L19" s="115"/>
      <c r="M19" s="115"/>
    </row>
    <row r="20" spans="1:13" ht="15" x14ac:dyDescent="0.25">
      <c r="A20" s="173">
        <v>2</v>
      </c>
      <c r="B20" s="173" t="s">
        <v>333</v>
      </c>
      <c r="C20" s="173"/>
      <c r="D20" s="181"/>
      <c r="E20" s="181"/>
      <c r="F20" s="181"/>
      <c r="G20" s="181"/>
      <c r="H20" s="181"/>
      <c r="I20" s="115"/>
      <c r="J20" s="115"/>
      <c r="K20" s="115"/>
      <c r="L20" s="115"/>
      <c r="M20" s="115"/>
    </row>
    <row r="21" spans="1:13" x14ac:dyDescent="0.2">
      <c r="A21" s="182" t="s">
        <v>329</v>
      </c>
      <c r="B21" s="181" t="s">
        <v>334</v>
      </c>
      <c r="C21" s="181"/>
      <c r="D21" s="178">
        <f>'P&amp;L'!B23</f>
        <v>19.698599999999999</v>
      </c>
      <c r="E21" s="178">
        <f>'P&amp;L'!C23</f>
        <v>20.682030000000001</v>
      </c>
      <c r="F21" s="178">
        <f>'P&amp;L'!D23</f>
        <v>21.714631500000003</v>
      </c>
      <c r="G21" s="178">
        <f>'P&amp;L'!E23</f>
        <v>22.798863075000007</v>
      </c>
      <c r="H21" s="178">
        <f>'P&amp;L'!F23</f>
        <v>23.937306228750007</v>
      </c>
      <c r="I21" s="178">
        <f>'P&amp;L'!G23</f>
        <v>25.132671540187509</v>
      </c>
      <c r="J21" s="178">
        <f>'P&amp;L'!H23</f>
        <v>26.387805117196883</v>
      </c>
      <c r="K21" s="178">
        <f>'P&amp;L'!I23</f>
        <v>27.705695373056734</v>
      </c>
      <c r="L21" s="178">
        <f>'P&amp;L'!J23</f>
        <v>29.089480141709572</v>
      </c>
      <c r="M21" s="178">
        <f>'P&amp;L'!K23</f>
        <v>30.542454148795052</v>
      </c>
    </row>
    <row r="22" spans="1:13" x14ac:dyDescent="0.2">
      <c r="A22" s="182" t="s">
        <v>330</v>
      </c>
      <c r="B22" s="181" t="s">
        <v>335</v>
      </c>
      <c r="C22" s="181"/>
      <c r="D22" s="176">
        <f>'P&amp;L'!B25</f>
        <v>13.088600000000001</v>
      </c>
      <c r="E22" s="176">
        <f>'P&amp;L'!C25</f>
        <v>14.827800000000002</v>
      </c>
      <c r="F22" s="176">
        <f>'P&amp;L'!D25</f>
        <v>16.588999999999999</v>
      </c>
      <c r="G22" s="176">
        <f>'P&amp;L'!E25</f>
        <v>18.432199999999998</v>
      </c>
      <c r="H22" s="176">
        <f>'P&amp;L'!F25</f>
        <v>20.492599999999999</v>
      </c>
      <c r="I22" s="176">
        <f>'P&amp;L'!G25</f>
        <v>22.4758</v>
      </c>
      <c r="J22" s="176">
        <f>'P&amp;L'!H25</f>
        <v>24.536000000000001</v>
      </c>
      <c r="K22" s="176">
        <f>'P&amp;L'!I25</f>
        <v>26.0242</v>
      </c>
      <c r="L22" s="176">
        <f>'P&amp;L'!J25</f>
        <v>27.674599999999995</v>
      </c>
      <c r="M22" s="176">
        <f>'P&amp;L'!K25</f>
        <v>29.157800000000002</v>
      </c>
    </row>
    <row r="23" spans="1:13" x14ac:dyDescent="0.2">
      <c r="A23" s="182" t="s">
        <v>331</v>
      </c>
      <c r="B23" s="181" t="s">
        <v>346</v>
      </c>
      <c r="C23" s="181"/>
      <c r="D23" s="176">
        <f>'P&amp;L'!B16</f>
        <v>105.23</v>
      </c>
      <c r="E23" s="176">
        <f>'P&amp;L'!C16</f>
        <v>117.096</v>
      </c>
      <c r="F23" s="176">
        <f>'P&amp;L'!D16</f>
        <v>134.31059999999999</v>
      </c>
      <c r="G23" s="176">
        <f>'P&amp;L'!E16</f>
        <v>152.24850000000001</v>
      </c>
      <c r="H23" s="176">
        <f>'P&amp;L'!F16</f>
        <v>172.41659999999999</v>
      </c>
      <c r="I23" s="176">
        <f>'P&amp;L'!G16</f>
        <v>193.9102</v>
      </c>
      <c r="J23" s="176">
        <f>'P&amp;L'!H16</f>
        <v>217.18700000000001</v>
      </c>
      <c r="K23" s="176">
        <f>'P&amp;L'!I16</f>
        <v>242.505</v>
      </c>
      <c r="L23" s="176">
        <f>'P&amp;L'!J16</f>
        <v>268.95780000000002</v>
      </c>
      <c r="M23" s="176">
        <f>'P&amp;L'!K16</f>
        <v>298.70499999999998</v>
      </c>
    </row>
    <row r="24" spans="1:13" hidden="1" x14ac:dyDescent="0.2">
      <c r="A24" s="182" t="s">
        <v>431</v>
      </c>
      <c r="B24" s="181" t="s">
        <v>456</v>
      </c>
      <c r="C24" s="181"/>
      <c r="D24" s="176">
        <f>BS!C45-BS!B45</f>
        <v>0</v>
      </c>
      <c r="E24" s="176">
        <f>BS!D45-BS!C45</f>
        <v>0</v>
      </c>
      <c r="F24" s="176">
        <f>BS!E45-BS!D45</f>
        <v>0</v>
      </c>
      <c r="G24" s="176">
        <f>BS!F45-BS!E45</f>
        <v>0</v>
      </c>
      <c r="H24" s="176">
        <f>BS!G45-BS!F45</f>
        <v>0</v>
      </c>
      <c r="I24" s="176">
        <f>BS!H45-BS!G45</f>
        <v>0</v>
      </c>
      <c r="J24" s="176">
        <f>BS!I45-BS!H45</f>
        <v>0</v>
      </c>
      <c r="K24" s="176">
        <f>BS!J45-BS!I45</f>
        <v>0</v>
      </c>
      <c r="L24" s="176">
        <f>BS!K45-BS!J45</f>
        <v>0</v>
      </c>
      <c r="M24" s="176">
        <f>BS!L45-BS!K45</f>
        <v>0</v>
      </c>
    </row>
    <row r="25" spans="1:13" ht="15" x14ac:dyDescent="0.25">
      <c r="A25" s="173">
        <v>3</v>
      </c>
      <c r="B25" s="173" t="s">
        <v>336</v>
      </c>
      <c r="C25" s="173"/>
      <c r="D25" s="285">
        <f>BS!B20-BS!C20</f>
        <v>0</v>
      </c>
      <c r="E25" s="285">
        <f>BS!C20-BS!D20</f>
        <v>0</v>
      </c>
      <c r="F25" s="285">
        <f>BS!D20-BS!E20</f>
        <v>0</v>
      </c>
      <c r="G25" s="285">
        <f>BS!E20-BS!F20</f>
        <v>0</v>
      </c>
      <c r="H25" s="285">
        <f>BS!F20-BS!G20</f>
        <v>0</v>
      </c>
      <c r="I25" s="285">
        <f>BS!G20-BS!H20</f>
        <v>0</v>
      </c>
      <c r="J25" s="285">
        <f>BS!H20-BS!I20</f>
        <v>0</v>
      </c>
      <c r="K25" s="285">
        <f>BS!I20-BS!J20</f>
        <v>0</v>
      </c>
      <c r="L25" s="285">
        <f>BS!J20-BS!K20</f>
        <v>0</v>
      </c>
      <c r="M25" s="285">
        <f>BS!K20-BS!L20</f>
        <v>0</v>
      </c>
    </row>
    <row r="26" spans="1:13" x14ac:dyDescent="0.2">
      <c r="A26" s="182" t="s">
        <v>329</v>
      </c>
      <c r="B26" s="181" t="s">
        <v>337</v>
      </c>
      <c r="C26" s="181"/>
      <c r="D26" s="178">
        <f>'P&amp;L'!B30</f>
        <v>0</v>
      </c>
      <c r="E26" s="178">
        <f>'P&amp;L'!C30</f>
        <v>0</v>
      </c>
      <c r="F26" s="178">
        <f>'P&amp;L'!D30</f>
        <v>0</v>
      </c>
      <c r="G26" s="178">
        <f>'P&amp;L'!E30</f>
        <v>0</v>
      </c>
      <c r="H26" s="178">
        <f>'P&amp;L'!F30</f>
        <v>0</v>
      </c>
      <c r="I26" s="178">
        <f>'P&amp;L'!G30</f>
        <v>0</v>
      </c>
      <c r="J26" s="178">
        <f>'P&amp;L'!H30</f>
        <v>0</v>
      </c>
      <c r="K26" s="178">
        <f>'P&amp;L'!I30</f>
        <v>0</v>
      </c>
      <c r="L26" s="178">
        <f>'P&amp;L'!J30</f>
        <v>0</v>
      </c>
      <c r="M26" s="178">
        <f>'P&amp;L'!K30</f>
        <v>0</v>
      </c>
    </row>
    <row r="27" spans="1:13" x14ac:dyDescent="0.2">
      <c r="A27" s="182" t="s">
        <v>330</v>
      </c>
      <c r="B27" s="181" t="s">
        <v>338</v>
      </c>
      <c r="C27" s="181"/>
      <c r="D27" s="178">
        <f>'P&amp;L'!B31</f>
        <v>0.64312200000000008</v>
      </c>
      <c r="E27" s="178">
        <f>'P&amp;L'!C31</f>
        <v>0.84050308124999984</v>
      </c>
      <c r="F27" s="178">
        <f>'P&amp;L'!D31</f>
        <v>0.98418132281250004</v>
      </c>
      <c r="G27" s="178">
        <f>'P&amp;L'!E31</f>
        <v>1.0883392702031249</v>
      </c>
      <c r="H27" s="178">
        <f>'P&amp;L'!F31</f>
        <v>1.2648054024632811</v>
      </c>
      <c r="I27" s="178">
        <f>'P&amp;L'!G31</f>
        <v>1.4403444100864458</v>
      </c>
      <c r="J27" s="178">
        <f>'P&amp;L'!H31</f>
        <v>1.6266037212157682</v>
      </c>
      <c r="K27" s="178">
        <f>'P&amp;L'!I31</f>
        <v>1.875453213526556</v>
      </c>
      <c r="L27" s="178">
        <f>'P&amp;L'!J31</f>
        <v>2.0689667992028831</v>
      </c>
      <c r="M27" s="178">
        <f>'P&amp;L'!K31</f>
        <v>2.3215412579130281</v>
      </c>
    </row>
    <row r="28" spans="1:13" ht="15" x14ac:dyDescent="0.25">
      <c r="A28" s="173">
        <v>4</v>
      </c>
      <c r="B28" s="173" t="s">
        <v>339</v>
      </c>
      <c r="C28" s="173"/>
      <c r="D28" s="178">
        <f>BS!C36</f>
        <v>12.719166666666666</v>
      </c>
      <c r="E28" s="178">
        <f>BS!D36-BS!C36</f>
        <v>2.3383833333333328</v>
      </c>
      <c r="F28" s="178">
        <f>BS!E36-BS!D36</f>
        <v>2.2748333333333335</v>
      </c>
      <c r="G28" s="178">
        <f>BS!F36-BS!E36</f>
        <v>2.4796583333333366</v>
      </c>
      <c r="H28" s="178">
        <f>BS!G36-BS!F36</f>
        <v>2.5546583333333288</v>
      </c>
      <c r="I28" s="178">
        <f>BS!H36-BS!G36</f>
        <v>2.9252916666666735</v>
      </c>
      <c r="J28" s="178">
        <f>BS!I36-BS!H36</f>
        <v>3.0817083333333386</v>
      </c>
      <c r="K28" s="178">
        <f>BS!J36-BS!I36</f>
        <v>3.3837333333333284</v>
      </c>
      <c r="L28" s="178">
        <f>BS!K36-BS!J36</f>
        <v>3.6076166666666651</v>
      </c>
      <c r="M28" s="178">
        <f>BS!L36-BS!K36</f>
        <v>3.94895833333333</v>
      </c>
    </row>
    <row r="29" spans="1:13" ht="15" x14ac:dyDescent="0.25">
      <c r="A29" s="173"/>
      <c r="B29" s="173"/>
      <c r="C29" s="173"/>
      <c r="D29" s="178"/>
      <c r="E29" s="178"/>
      <c r="F29" s="178"/>
      <c r="G29" s="178"/>
      <c r="H29" s="178"/>
      <c r="I29" s="115"/>
      <c r="J29" s="115"/>
      <c r="K29" s="115"/>
      <c r="L29" s="115"/>
      <c r="M29" s="115"/>
    </row>
    <row r="30" spans="1:13" ht="15" x14ac:dyDescent="0.25">
      <c r="A30" s="173">
        <v>5</v>
      </c>
      <c r="B30" s="173" t="s">
        <v>340</v>
      </c>
      <c r="C30" s="173"/>
      <c r="D30" s="178">
        <f>'P&amp;L'!B35</f>
        <v>0</v>
      </c>
      <c r="E30" s="178">
        <f>'P&amp;L'!C35</f>
        <v>0.35648847562499825</v>
      </c>
      <c r="F30" s="178">
        <f>'P&amp;L'!D35</f>
        <v>4.5827489031562445</v>
      </c>
      <c r="G30" s="178">
        <f>'P&amp;L'!E35</f>
        <v>7.7315609339390701</v>
      </c>
      <c r="H30" s="178">
        <f>'P&amp;L'!F35</f>
        <v>10.857193072511024</v>
      </c>
      <c r="I30" s="178">
        <f>'P&amp;L'!G35</f>
        <v>14.397235345511573</v>
      </c>
      <c r="J30" s="178">
        <f>'P&amp;L'!H35</f>
        <v>17.979745407180925</v>
      </c>
      <c r="K30" s="178">
        <f>'P&amp;L'!I35</f>
        <v>22.285522426854012</v>
      </c>
      <c r="L30" s="178">
        <f>'P&amp;L'!J35</f>
        <v>26.445907757767916</v>
      </c>
      <c r="M30" s="178">
        <f>'P&amp;L'!K35</f>
        <v>31.330709740896271</v>
      </c>
    </row>
    <row r="31" spans="1:13" ht="15" x14ac:dyDescent="0.25">
      <c r="A31" s="173">
        <v>6</v>
      </c>
      <c r="B31" s="173" t="s">
        <v>341</v>
      </c>
      <c r="C31" s="173"/>
      <c r="D31" s="174"/>
      <c r="E31" s="174"/>
      <c r="F31" s="174"/>
      <c r="G31" s="174"/>
      <c r="H31" s="174"/>
      <c r="I31" s="115"/>
      <c r="J31" s="115"/>
      <c r="K31" s="115"/>
      <c r="L31" s="115"/>
      <c r="M31" s="115"/>
    </row>
    <row r="32" spans="1:13" ht="15" x14ac:dyDescent="0.25">
      <c r="A32" s="173"/>
      <c r="B32" s="173" t="s">
        <v>342</v>
      </c>
      <c r="C32" s="175">
        <f>SUM(C15:C31)</f>
        <v>205.42200000000003</v>
      </c>
      <c r="D32" s="175">
        <f>SUM(D15:D31)</f>
        <v>151.37948866666667</v>
      </c>
      <c r="E32" s="175">
        <f t="shared" ref="E32:J32" si="1">SUM(E15:E31)</f>
        <v>156.14120489020831</v>
      </c>
      <c r="F32" s="175">
        <f t="shared" si="1"/>
        <v>180.45599505930207</v>
      </c>
      <c r="G32" s="175">
        <f t="shared" si="1"/>
        <v>204.77912161247556</v>
      </c>
      <c r="H32" s="175">
        <f t="shared" si="1"/>
        <v>231.52316303705763</v>
      </c>
      <c r="I32" s="175">
        <f t="shared" si="1"/>
        <v>260.28154296245219</v>
      </c>
      <c r="J32" s="175">
        <f t="shared" si="1"/>
        <v>290.7988625789269</v>
      </c>
      <c r="K32" s="175">
        <f t="shared" ref="K32:M32" si="2">SUM(K15:K31)</f>
        <v>323.77960434677061</v>
      </c>
      <c r="L32" s="175">
        <f t="shared" si="2"/>
        <v>357.84437136534706</v>
      </c>
      <c r="M32" s="175">
        <f t="shared" si="2"/>
        <v>396.00646348093773</v>
      </c>
    </row>
    <row r="33" spans="1:13" ht="15" x14ac:dyDescent="0.25">
      <c r="A33" s="173"/>
      <c r="B33" s="173" t="s">
        <v>343</v>
      </c>
      <c r="C33" s="175">
        <f t="shared" ref="C33:J33" si="3">C12-C32</f>
        <v>2.3819333333333361</v>
      </c>
      <c r="D33" s="175">
        <f t="shared" si="3"/>
        <v>19.897744666666654</v>
      </c>
      <c r="E33" s="175">
        <f t="shared" si="3"/>
        <v>27.958237401458348</v>
      </c>
      <c r="F33" s="175">
        <f t="shared" si="3"/>
        <v>30.796396638614596</v>
      </c>
      <c r="G33" s="175">
        <f t="shared" si="3"/>
        <v>35.861466545336981</v>
      </c>
      <c r="H33" s="175">
        <f t="shared" si="3"/>
        <v>40.785217028645462</v>
      </c>
      <c r="I33" s="175">
        <f t="shared" si="3"/>
        <v>47.228804231536174</v>
      </c>
      <c r="J33" s="175">
        <f t="shared" si="3"/>
        <v>53.971096453927601</v>
      </c>
      <c r="K33" s="175">
        <f t="shared" ref="K33:M33" si="4">K12-K32</f>
        <v>62.418264200226531</v>
      </c>
      <c r="L33" s="175">
        <f t="shared" si="4"/>
        <v>71.143628317333253</v>
      </c>
      <c r="M33" s="175">
        <f t="shared" si="4"/>
        <v>81.291633894209895</v>
      </c>
    </row>
    <row r="34" spans="1:13" ht="15" x14ac:dyDescent="0.25">
      <c r="A34" s="286"/>
      <c r="B34" s="181" t="s">
        <v>344</v>
      </c>
      <c r="C34" s="181"/>
      <c r="D34" s="178">
        <f>C35</f>
        <v>2.3819333333333361</v>
      </c>
      <c r="E34" s="178">
        <f>D35</f>
        <v>22.27967799999999</v>
      </c>
      <c r="F34" s="178">
        <f t="shared" ref="F34:J34" si="5">E35</f>
        <v>50.237915401458338</v>
      </c>
      <c r="G34" s="178">
        <f t="shared" si="5"/>
        <v>81.034312040072933</v>
      </c>
      <c r="H34" s="178">
        <f t="shared" si="5"/>
        <v>116.89577858540991</v>
      </c>
      <c r="I34" s="178">
        <f t="shared" si="5"/>
        <v>157.68099561405538</v>
      </c>
      <c r="J34" s="178">
        <f t="shared" si="5"/>
        <v>204.90979984559155</v>
      </c>
      <c r="K34" s="178">
        <f t="shared" ref="K34" si="6">J35</f>
        <v>258.88089629951912</v>
      </c>
      <c r="L34" s="178">
        <f t="shared" ref="L34" si="7">K35</f>
        <v>321.29916049974565</v>
      </c>
      <c r="M34" s="178">
        <f t="shared" ref="M34" si="8">L35</f>
        <v>392.44278881707891</v>
      </c>
    </row>
    <row r="35" spans="1:13" ht="15" x14ac:dyDescent="0.25">
      <c r="A35" s="173"/>
      <c r="B35" s="287" t="s">
        <v>345</v>
      </c>
      <c r="C35" s="175">
        <f>C33+C34</f>
        <v>2.3819333333333361</v>
      </c>
      <c r="D35" s="175">
        <f>D33+D34</f>
        <v>22.27967799999999</v>
      </c>
      <c r="E35" s="175">
        <f t="shared" ref="E35:J35" si="9">E33+E34</f>
        <v>50.237915401458338</v>
      </c>
      <c r="F35" s="175">
        <f t="shared" si="9"/>
        <v>81.034312040072933</v>
      </c>
      <c r="G35" s="175">
        <f t="shared" si="9"/>
        <v>116.89577858540991</v>
      </c>
      <c r="H35" s="175">
        <f t="shared" si="9"/>
        <v>157.68099561405538</v>
      </c>
      <c r="I35" s="175">
        <f t="shared" si="9"/>
        <v>204.90979984559155</v>
      </c>
      <c r="J35" s="175">
        <f t="shared" si="9"/>
        <v>258.88089629951912</v>
      </c>
      <c r="K35" s="175">
        <f t="shared" ref="K35:M35" si="10">K33+K34</f>
        <v>321.29916049974565</v>
      </c>
      <c r="L35" s="175">
        <f t="shared" si="10"/>
        <v>392.44278881707891</v>
      </c>
      <c r="M35" s="175">
        <f t="shared" si="10"/>
        <v>473.7344227112888</v>
      </c>
    </row>
    <row r="37" spans="1:13" x14ac:dyDescent="0.2">
      <c r="C37" s="265">
        <f>BS!B47</f>
        <v>2.3819333333333361</v>
      </c>
      <c r="D37" s="265">
        <f>BS!C47</f>
        <v>22.27967799999999</v>
      </c>
      <c r="E37" s="265">
        <f>BS!D47</f>
        <v>50.237915401458338</v>
      </c>
      <c r="F37" s="265">
        <f>BS!E47</f>
        <v>81.034312040072933</v>
      </c>
      <c r="G37" s="265">
        <f>BS!F47</f>
        <v>116.89577858540991</v>
      </c>
      <c r="H37" s="265">
        <f>BS!G47</f>
        <v>157.68099561405538</v>
      </c>
      <c r="I37" s="265">
        <f>BS!H47</f>
        <v>204.90979984559155</v>
      </c>
      <c r="J37" s="265">
        <f>BS!I47</f>
        <v>258.88089629951912</v>
      </c>
      <c r="K37" s="265">
        <f>BS!J47</f>
        <v>321.29916049974565</v>
      </c>
      <c r="L37" s="265">
        <f>BS!K47</f>
        <v>392.44278881707891</v>
      </c>
      <c r="M37" s="265">
        <f>BS!L47</f>
        <v>473.7344227112888</v>
      </c>
    </row>
    <row r="38" spans="1:13" x14ac:dyDescent="0.2">
      <c r="D38" s="265"/>
    </row>
    <row r="39" spans="1:13" x14ac:dyDescent="0.2">
      <c r="C39" s="265">
        <f>C35-C37</f>
        <v>0</v>
      </c>
      <c r="D39" s="265">
        <f>D35-D37</f>
        <v>0</v>
      </c>
      <c r="E39" s="265">
        <f t="shared" ref="E39:J39" si="11">E35-E37</f>
        <v>0</v>
      </c>
      <c r="F39" s="265">
        <f t="shared" si="11"/>
        <v>0</v>
      </c>
      <c r="G39" s="265">
        <f t="shared" si="11"/>
        <v>0</v>
      </c>
      <c r="H39" s="265">
        <f t="shared" si="11"/>
        <v>0</v>
      </c>
      <c r="I39" s="265">
        <f t="shared" si="11"/>
        <v>0</v>
      </c>
      <c r="J39" s="265">
        <f t="shared" si="11"/>
        <v>0</v>
      </c>
      <c r="K39" s="265">
        <f t="shared" ref="K39:M39" si="12">K35-K37</f>
        <v>0</v>
      </c>
      <c r="L39" s="265">
        <f t="shared" si="12"/>
        <v>0</v>
      </c>
      <c r="M39" s="265">
        <f t="shared" si="12"/>
        <v>0</v>
      </c>
    </row>
    <row r="40" spans="1:13" x14ac:dyDescent="0.2">
      <c r="D40" s="288"/>
      <c r="E40" s="265"/>
      <c r="F40" s="265"/>
      <c r="G40" s="265"/>
      <c r="H40" s="265"/>
      <c r="I40" s="265"/>
      <c r="J40" s="265"/>
    </row>
    <row r="41" spans="1:13" x14ac:dyDescent="0.2">
      <c r="D41" s="265"/>
      <c r="E41" s="265"/>
      <c r="F41" s="265"/>
      <c r="G41" s="265"/>
      <c r="H41" s="265"/>
    </row>
  </sheetData>
  <mergeCells count="1">
    <mergeCell ref="A1:J1"/>
  </mergeCells>
  <pageMargins left="0.7" right="0.7" top="0.75" bottom="0.75" header="0.3" footer="0.3"/>
  <pageSetup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2" t="s">
        <v>1</v>
      </c>
      <c r="B2" s="12" t="s">
        <v>445</v>
      </c>
      <c r="C2" s="12" t="s">
        <v>36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x14ac:dyDescent="0.25">
      <c r="A4" s="4" t="s">
        <v>50</v>
      </c>
      <c r="B4" s="4">
        <v>0</v>
      </c>
      <c r="C4" s="14">
        <f>B7</f>
        <v>0</v>
      </c>
      <c r="D4" s="14">
        <f t="shared" ref="D4:H4" si="0">C7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  <c r="H4" s="14">
        <f t="shared" si="0"/>
        <v>0</v>
      </c>
      <c r="I4" s="7">
        <v>0</v>
      </c>
    </row>
    <row r="5" spans="1:9" x14ac:dyDescent="0.25">
      <c r="A5" s="4" t="s">
        <v>446</v>
      </c>
      <c r="B5" s="14">
        <f>Interest!H19</f>
        <v>0</v>
      </c>
      <c r="C5" s="14">
        <f>Interest!H31</f>
        <v>0</v>
      </c>
      <c r="D5" s="14">
        <f>Interest!H43</f>
        <v>0</v>
      </c>
      <c r="E5" s="14">
        <f>Interest!H55</f>
        <v>0</v>
      </c>
      <c r="F5" s="14">
        <f>Interest!H67</f>
        <v>0</v>
      </c>
      <c r="G5" s="14">
        <f>Interest!H79</f>
        <v>0</v>
      </c>
      <c r="H5" s="14">
        <f>Interest!H91</f>
        <v>0</v>
      </c>
      <c r="I5" s="7">
        <v>0</v>
      </c>
    </row>
    <row r="6" spans="1:9" x14ac:dyDescent="0.25">
      <c r="A6" s="4" t="s">
        <v>447</v>
      </c>
      <c r="B6" s="14">
        <f>Interest!I19</f>
        <v>0</v>
      </c>
      <c r="C6" s="14">
        <f>Interest!I31</f>
        <v>0</v>
      </c>
      <c r="D6" s="14">
        <f>Interest!I43</f>
        <v>0</v>
      </c>
      <c r="E6" s="14">
        <f>Interest!I55</f>
        <v>0</v>
      </c>
      <c r="F6" s="14">
        <f>Interest!I67</f>
        <v>0</v>
      </c>
      <c r="G6" s="14">
        <f>Interest!I79</f>
        <v>0</v>
      </c>
      <c r="H6" s="14">
        <f>Interest!I91</f>
        <v>0</v>
      </c>
      <c r="I6" s="7">
        <v>0</v>
      </c>
    </row>
    <row r="7" spans="1:9" x14ac:dyDescent="0.25">
      <c r="A7" s="4" t="s">
        <v>448</v>
      </c>
      <c r="B7" s="14">
        <f>Interest!G19</f>
        <v>0</v>
      </c>
      <c r="C7" s="14">
        <f>C4-C6</f>
        <v>0</v>
      </c>
      <c r="D7" s="14">
        <f t="shared" ref="D7:I7" si="1">D4-D6</f>
        <v>0</v>
      </c>
      <c r="E7" s="14">
        <f t="shared" si="1"/>
        <v>0</v>
      </c>
      <c r="F7" s="14">
        <f t="shared" si="1"/>
        <v>0</v>
      </c>
      <c r="G7" s="14">
        <f t="shared" si="1"/>
        <v>0</v>
      </c>
      <c r="H7" s="7">
        <v>0</v>
      </c>
      <c r="I7" s="7">
        <f t="shared" si="1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6" workbookViewId="0">
      <selection activeCell="D8" sqref="D8"/>
    </sheetView>
  </sheetViews>
  <sheetFormatPr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86"/>
      <c r="C1" s="386"/>
      <c r="D1" s="386"/>
      <c r="E1" s="386"/>
      <c r="F1" s="386"/>
      <c r="G1" s="386"/>
      <c r="H1" s="36"/>
      <c r="I1" s="36"/>
    </row>
    <row r="2" spans="1:9" ht="15.75" thickBot="1" x14ac:dyDescent="0.3"/>
    <row r="3" spans="1:9" ht="15.75" thickBot="1" x14ac:dyDescent="0.3">
      <c r="B3" s="387" t="s">
        <v>189</v>
      </c>
      <c r="C3" s="388"/>
      <c r="D3" s="388"/>
      <c r="E3" s="388"/>
      <c r="F3" s="388"/>
      <c r="G3" s="389"/>
    </row>
    <row r="4" spans="1:9" x14ac:dyDescent="0.25">
      <c r="B4" s="39"/>
      <c r="C4" s="39"/>
      <c r="D4" s="39"/>
      <c r="E4" s="39"/>
      <c r="F4" s="39"/>
      <c r="G4" s="39"/>
    </row>
    <row r="5" spans="1:9" x14ac:dyDescent="0.25">
      <c r="B5" s="39"/>
      <c r="C5" s="39" t="s">
        <v>190</v>
      </c>
      <c r="D5" s="40">
        <v>0.09</v>
      </c>
      <c r="E5" s="39"/>
      <c r="F5" s="39"/>
      <c r="G5" s="39"/>
    </row>
    <row r="6" spans="1:9" x14ac:dyDescent="0.25">
      <c r="B6" s="39"/>
      <c r="C6" s="39"/>
      <c r="D6" s="41"/>
      <c r="E6" s="39"/>
      <c r="F6" s="39"/>
      <c r="G6" s="39" t="s">
        <v>191</v>
      </c>
    </row>
    <row r="7" spans="1:9" x14ac:dyDescent="0.25">
      <c r="B7" s="11" t="s">
        <v>192</v>
      </c>
      <c r="C7" s="42" t="s">
        <v>45</v>
      </c>
      <c r="D7" s="42" t="s">
        <v>193</v>
      </c>
      <c r="E7" s="42" t="s">
        <v>194</v>
      </c>
      <c r="F7" s="42" t="s">
        <v>195</v>
      </c>
      <c r="G7" s="42" t="s">
        <v>196</v>
      </c>
    </row>
    <row r="8" spans="1:9" x14ac:dyDescent="0.25">
      <c r="A8" s="1" t="s">
        <v>197</v>
      </c>
      <c r="B8" s="4" t="s">
        <v>198</v>
      </c>
      <c r="C8" s="14">
        <f>'Project Glance'!B21/4</f>
        <v>0</v>
      </c>
      <c r="D8" s="14">
        <f t="shared" ref="D8:D71" si="0">C8*$D$5/12</f>
        <v>0</v>
      </c>
      <c r="E8" s="14"/>
      <c r="F8" s="14">
        <f>D8</f>
        <v>0</v>
      </c>
      <c r="G8" s="14">
        <f>C8-E8</f>
        <v>0</v>
      </c>
    </row>
    <row r="9" spans="1:9" x14ac:dyDescent="0.25">
      <c r="B9" s="4" t="s">
        <v>199</v>
      </c>
      <c r="C9" s="14">
        <f>G8</f>
        <v>0</v>
      </c>
      <c r="D9" s="14">
        <f t="shared" si="0"/>
        <v>0</v>
      </c>
      <c r="E9" s="14"/>
      <c r="F9" s="14">
        <f>F8</f>
        <v>0</v>
      </c>
      <c r="G9" s="14">
        <f t="shared" ref="G9:G72" si="1">C9-E9</f>
        <v>0</v>
      </c>
    </row>
    <row r="10" spans="1:9" x14ac:dyDescent="0.25">
      <c r="B10" s="4" t="s">
        <v>200</v>
      </c>
      <c r="C10" s="14">
        <f t="shared" ref="C10:C73" si="2">G9</f>
        <v>0</v>
      </c>
      <c r="D10" s="14">
        <f t="shared" si="0"/>
        <v>0</v>
      </c>
      <c r="E10" s="14"/>
      <c r="F10" s="14">
        <f t="shared" ref="F10:F19" si="3">F9</f>
        <v>0</v>
      </c>
      <c r="G10" s="14">
        <f t="shared" si="1"/>
        <v>0</v>
      </c>
    </row>
    <row r="11" spans="1:9" x14ac:dyDescent="0.25">
      <c r="B11" s="4" t="s">
        <v>201</v>
      </c>
      <c r="C11" s="14">
        <f>G10+'Project Glance'!B21/4</f>
        <v>0</v>
      </c>
      <c r="D11" s="14">
        <f t="shared" si="0"/>
        <v>0</v>
      </c>
      <c r="E11" s="14"/>
      <c r="F11" s="14">
        <f t="shared" si="3"/>
        <v>0</v>
      </c>
      <c r="G11" s="14">
        <f t="shared" si="1"/>
        <v>0</v>
      </c>
    </row>
    <row r="12" spans="1:9" x14ac:dyDescent="0.25">
      <c r="B12" s="4" t="s">
        <v>202</v>
      </c>
      <c r="C12" s="14">
        <f t="shared" si="2"/>
        <v>0</v>
      </c>
      <c r="D12" s="14">
        <f t="shared" si="0"/>
        <v>0</v>
      </c>
      <c r="E12" s="14"/>
      <c r="F12" s="14">
        <f t="shared" si="3"/>
        <v>0</v>
      </c>
      <c r="G12" s="14">
        <f t="shared" si="1"/>
        <v>0</v>
      </c>
    </row>
    <row r="13" spans="1:9" x14ac:dyDescent="0.25">
      <c r="B13" s="4" t="s">
        <v>203</v>
      </c>
      <c r="C13" s="14">
        <f t="shared" si="2"/>
        <v>0</v>
      </c>
      <c r="D13" s="14">
        <f t="shared" si="0"/>
        <v>0</v>
      </c>
      <c r="E13" s="14"/>
      <c r="F13" s="14">
        <f t="shared" si="3"/>
        <v>0</v>
      </c>
      <c r="G13" s="14">
        <f t="shared" si="1"/>
        <v>0</v>
      </c>
    </row>
    <row r="14" spans="1:9" x14ac:dyDescent="0.25">
      <c r="B14" s="4" t="s">
        <v>204</v>
      </c>
      <c r="C14" s="14">
        <f>G13+'Project Glance'!B21/4</f>
        <v>0</v>
      </c>
      <c r="D14" s="14">
        <f t="shared" si="0"/>
        <v>0</v>
      </c>
      <c r="E14" s="14"/>
      <c r="F14" s="14">
        <f t="shared" si="3"/>
        <v>0</v>
      </c>
      <c r="G14" s="14">
        <f t="shared" si="1"/>
        <v>0</v>
      </c>
    </row>
    <row r="15" spans="1:9" x14ac:dyDescent="0.25">
      <c r="B15" s="4" t="s">
        <v>205</v>
      </c>
      <c r="C15" s="14">
        <f t="shared" si="2"/>
        <v>0</v>
      </c>
      <c r="D15" s="14">
        <f t="shared" si="0"/>
        <v>0</v>
      </c>
      <c r="E15" s="14"/>
      <c r="F15" s="14">
        <f t="shared" si="3"/>
        <v>0</v>
      </c>
      <c r="G15" s="14">
        <f t="shared" si="1"/>
        <v>0</v>
      </c>
    </row>
    <row r="16" spans="1:9" x14ac:dyDescent="0.25">
      <c r="B16" s="4" t="s">
        <v>206</v>
      </c>
      <c r="C16" s="14">
        <f t="shared" si="2"/>
        <v>0</v>
      </c>
      <c r="D16" s="14">
        <f t="shared" si="0"/>
        <v>0</v>
      </c>
      <c r="E16" s="14"/>
      <c r="F16" s="14">
        <f t="shared" si="3"/>
        <v>0</v>
      </c>
      <c r="G16" s="14">
        <f t="shared" si="1"/>
        <v>0</v>
      </c>
    </row>
    <row r="17" spans="1:9" x14ac:dyDescent="0.25">
      <c r="B17" s="4" t="s">
        <v>207</v>
      </c>
      <c r="C17" s="14">
        <f>G16+'Project Glance'!B21/4</f>
        <v>0</v>
      </c>
      <c r="D17" s="14">
        <f t="shared" si="0"/>
        <v>0</v>
      </c>
      <c r="E17" s="14"/>
      <c r="F17" s="14">
        <f t="shared" si="3"/>
        <v>0</v>
      </c>
      <c r="G17" s="14">
        <f t="shared" si="1"/>
        <v>0</v>
      </c>
    </row>
    <row r="18" spans="1:9" x14ac:dyDescent="0.25">
      <c r="B18" s="4" t="s">
        <v>208</v>
      </c>
      <c r="C18" s="14">
        <f t="shared" si="2"/>
        <v>0</v>
      </c>
      <c r="D18" s="14">
        <f t="shared" si="0"/>
        <v>0</v>
      </c>
      <c r="E18" s="14"/>
      <c r="F18" s="14">
        <f t="shared" si="3"/>
        <v>0</v>
      </c>
      <c r="G18" s="14">
        <f t="shared" si="1"/>
        <v>0</v>
      </c>
    </row>
    <row r="19" spans="1:9" x14ac:dyDescent="0.25">
      <c r="B19" s="4" t="s">
        <v>209</v>
      </c>
      <c r="C19" s="14">
        <f t="shared" si="2"/>
        <v>0</v>
      </c>
      <c r="D19" s="14">
        <f t="shared" si="0"/>
        <v>0</v>
      </c>
      <c r="E19" s="14"/>
      <c r="F19" s="14">
        <f t="shared" si="3"/>
        <v>0</v>
      </c>
      <c r="G19" s="14">
        <f t="shared" si="1"/>
        <v>0</v>
      </c>
      <c r="H19" s="10">
        <f>SUM(D8:D19)</f>
        <v>0</v>
      </c>
      <c r="I19" s="10">
        <f>SUM(E8:E19)</f>
        <v>0</v>
      </c>
    </row>
    <row r="20" spans="1:9" x14ac:dyDescent="0.25">
      <c r="A20" s="1" t="s">
        <v>210</v>
      </c>
      <c r="B20" s="4" t="s">
        <v>211</v>
      </c>
      <c r="C20" s="14">
        <f t="shared" si="2"/>
        <v>0</v>
      </c>
      <c r="D20" s="14">
        <f t="shared" si="0"/>
        <v>0</v>
      </c>
      <c r="E20" s="14">
        <f>C20/72</f>
        <v>0</v>
      </c>
      <c r="F20" s="14">
        <f>D20+E20</f>
        <v>0</v>
      </c>
      <c r="G20" s="14">
        <f t="shared" si="1"/>
        <v>0</v>
      </c>
    </row>
    <row r="21" spans="1:9" x14ac:dyDescent="0.25">
      <c r="B21" s="4" t="s">
        <v>212</v>
      </c>
      <c r="C21" s="14">
        <f t="shared" si="2"/>
        <v>0</v>
      </c>
      <c r="D21" s="14">
        <f t="shared" si="0"/>
        <v>0</v>
      </c>
      <c r="E21" s="14">
        <f>$E$20</f>
        <v>0</v>
      </c>
      <c r="F21" s="14">
        <f t="shared" ref="F21:F84" si="4">D21+E21</f>
        <v>0</v>
      </c>
      <c r="G21" s="14">
        <f t="shared" si="1"/>
        <v>0</v>
      </c>
    </row>
    <row r="22" spans="1:9" x14ac:dyDescent="0.25">
      <c r="B22" s="4" t="s">
        <v>213</v>
      </c>
      <c r="C22" s="14">
        <f t="shared" si="2"/>
        <v>0</v>
      </c>
      <c r="D22" s="14">
        <f t="shared" si="0"/>
        <v>0</v>
      </c>
      <c r="E22" s="14">
        <f t="shared" ref="E22:E85" si="5">$E$20</f>
        <v>0</v>
      </c>
      <c r="F22" s="14">
        <f t="shared" si="4"/>
        <v>0</v>
      </c>
      <c r="G22" s="14">
        <f t="shared" si="1"/>
        <v>0</v>
      </c>
    </row>
    <row r="23" spans="1:9" x14ac:dyDescent="0.25">
      <c r="B23" s="4" t="s">
        <v>214</v>
      </c>
      <c r="C23" s="14">
        <f t="shared" si="2"/>
        <v>0</v>
      </c>
      <c r="D23" s="14">
        <f t="shared" si="0"/>
        <v>0</v>
      </c>
      <c r="E23" s="14">
        <f t="shared" si="5"/>
        <v>0</v>
      </c>
      <c r="F23" s="14">
        <f t="shared" si="4"/>
        <v>0</v>
      </c>
      <c r="G23" s="14">
        <f t="shared" si="1"/>
        <v>0</v>
      </c>
    </row>
    <row r="24" spans="1:9" x14ac:dyDescent="0.25">
      <c r="B24" s="4" t="s">
        <v>215</v>
      </c>
      <c r="C24" s="14">
        <f t="shared" si="2"/>
        <v>0</v>
      </c>
      <c r="D24" s="14">
        <f t="shared" si="0"/>
        <v>0</v>
      </c>
      <c r="E24" s="14">
        <f t="shared" si="5"/>
        <v>0</v>
      </c>
      <c r="F24" s="14">
        <f t="shared" si="4"/>
        <v>0</v>
      </c>
      <c r="G24" s="14">
        <f t="shared" si="1"/>
        <v>0</v>
      </c>
    </row>
    <row r="25" spans="1:9" x14ac:dyDescent="0.25">
      <c r="B25" s="4" t="s">
        <v>216</v>
      </c>
      <c r="C25" s="14">
        <f t="shared" si="2"/>
        <v>0</v>
      </c>
      <c r="D25" s="14">
        <f t="shared" si="0"/>
        <v>0</v>
      </c>
      <c r="E25" s="14">
        <f t="shared" si="5"/>
        <v>0</v>
      </c>
      <c r="F25" s="14">
        <f t="shared" si="4"/>
        <v>0</v>
      </c>
      <c r="G25" s="14">
        <f t="shared" si="1"/>
        <v>0</v>
      </c>
    </row>
    <row r="26" spans="1:9" x14ac:dyDescent="0.25">
      <c r="B26" s="4" t="s">
        <v>217</v>
      </c>
      <c r="C26" s="14">
        <f t="shared" si="2"/>
        <v>0</v>
      </c>
      <c r="D26" s="14">
        <f t="shared" si="0"/>
        <v>0</v>
      </c>
      <c r="E26" s="14">
        <f t="shared" si="5"/>
        <v>0</v>
      </c>
      <c r="F26" s="14">
        <f t="shared" si="4"/>
        <v>0</v>
      </c>
      <c r="G26" s="14">
        <f t="shared" si="1"/>
        <v>0</v>
      </c>
    </row>
    <row r="27" spans="1:9" x14ac:dyDescent="0.25">
      <c r="B27" s="4" t="s">
        <v>218</v>
      </c>
      <c r="C27" s="14">
        <f t="shared" si="2"/>
        <v>0</v>
      </c>
      <c r="D27" s="14">
        <f t="shared" si="0"/>
        <v>0</v>
      </c>
      <c r="E27" s="14">
        <f t="shared" si="5"/>
        <v>0</v>
      </c>
      <c r="F27" s="14">
        <f t="shared" si="4"/>
        <v>0</v>
      </c>
      <c r="G27" s="14">
        <f t="shared" si="1"/>
        <v>0</v>
      </c>
    </row>
    <row r="28" spans="1:9" x14ac:dyDescent="0.25">
      <c r="B28" s="4" t="s">
        <v>219</v>
      </c>
      <c r="C28" s="14">
        <f t="shared" si="2"/>
        <v>0</v>
      </c>
      <c r="D28" s="14">
        <f t="shared" si="0"/>
        <v>0</v>
      </c>
      <c r="E28" s="14">
        <f t="shared" si="5"/>
        <v>0</v>
      </c>
      <c r="F28" s="14">
        <f t="shared" si="4"/>
        <v>0</v>
      </c>
      <c r="G28" s="14">
        <f t="shared" si="1"/>
        <v>0</v>
      </c>
    </row>
    <row r="29" spans="1:9" x14ac:dyDescent="0.25">
      <c r="B29" s="4" t="s">
        <v>220</v>
      </c>
      <c r="C29" s="14">
        <f t="shared" si="2"/>
        <v>0</v>
      </c>
      <c r="D29" s="14">
        <f t="shared" si="0"/>
        <v>0</v>
      </c>
      <c r="E29" s="14">
        <f t="shared" si="5"/>
        <v>0</v>
      </c>
      <c r="F29" s="14">
        <f t="shared" si="4"/>
        <v>0</v>
      </c>
      <c r="G29" s="14">
        <f t="shared" si="1"/>
        <v>0</v>
      </c>
    </row>
    <row r="30" spans="1:9" x14ac:dyDescent="0.25">
      <c r="B30" s="4" t="s">
        <v>221</v>
      </c>
      <c r="C30" s="14">
        <f t="shared" si="2"/>
        <v>0</v>
      </c>
      <c r="D30" s="14">
        <f t="shared" si="0"/>
        <v>0</v>
      </c>
      <c r="E30" s="14">
        <f t="shared" si="5"/>
        <v>0</v>
      </c>
      <c r="F30" s="14">
        <f t="shared" si="4"/>
        <v>0</v>
      </c>
      <c r="G30" s="14">
        <f t="shared" si="1"/>
        <v>0</v>
      </c>
    </row>
    <row r="31" spans="1:9" x14ac:dyDescent="0.25">
      <c r="B31" s="4" t="s">
        <v>222</v>
      </c>
      <c r="C31" s="14">
        <f t="shared" si="2"/>
        <v>0</v>
      </c>
      <c r="D31" s="14">
        <f t="shared" si="0"/>
        <v>0</v>
      </c>
      <c r="E31" s="14">
        <f t="shared" si="5"/>
        <v>0</v>
      </c>
      <c r="F31" s="14">
        <f t="shared" si="4"/>
        <v>0</v>
      </c>
      <c r="G31" s="14">
        <f t="shared" si="1"/>
        <v>0</v>
      </c>
      <c r="H31" s="10">
        <f>SUM(D20:D31)</f>
        <v>0</v>
      </c>
      <c r="I31" s="10">
        <f>SUM(E20:E31)</f>
        <v>0</v>
      </c>
    </row>
    <row r="32" spans="1:9" x14ac:dyDescent="0.25">
      <c r="A32" s="1" t="s">
        <v>223</v>
      </c>
      <c r="B32" s="4" t="s">
        <v>224</v>
      </c>
      <c r="C32" s="14">
        <f t="shared" si="2"/>
        <v>0</v>
      </c>
      <c r="D32" s="14">
        <f t="shared" si="0"/>
        <v>0</v>
      </c>
      <c r="E32" s="14">
        <f t="shared" si="5"/>
        <v>0</v>
      </c>
      <c r="F32" s="14">
        <f t="shared" si="4"/>
        <v>0</v>
      </c>
      <c r="G32" s="14">
        <f t="shared" si="1"/>
        <v>0</v>
      </c>
    </row>
    <row r="33" spans="1:9" x14ac:dyDescent="0.25">
      <c r="B33" s="4" t="s">
        <v>225</v>
      </c>
      <c r="C33" s="14">
        <f t="shared" si="2"/>
        <v>0</v>
      </c>
      <c r="D33" s="14">
        <f t="shared" si="0"/>
        <v>0</v>
      </c>
      <c r="E33" s="14">
        <f t="shared" si="5"/>
        <v>0</v>
      </c>
      <c r="F33" s="14">
        <f t="shared" si="4"/>
        <v>0</v>
      </c>
      <c r="G33" s="14">
        <f t="shared" si="1"/>
        <v>0</v>
      </c>
    </row>
    <row r="34" spans="1:9" x14ac:dyDescent="0.25">
      <c r="B34" s="4" t="s">
        <v>226</v>
      </c>
      <c r="C34" s="14">
        <f t="shared" si="2"/>
        <v>0</v>
      </c>
      <c r="D34" s="14">
        <f t="shared" si="0"/>
        <v>0</v>
      </c>
      <c r="E34" s="14">
        <f t="shared" si="5"/>
        <v>0</v>
      </c>
      <c r="F34" s="14">
        <f t="shared" si="4"/>
        <v>0</v>
      </c>
      <c r="G34" s="14">
        <f t="shared" si="1"/>
        <v>0</v>
      </c>
    </row>
    <row r="35" spans="1:9" x14ac:dyDescent="0.25">
      <c r="B35" s="4" t="s">
        <v>227</v>
      </c>
      <c r="C35" s="14">
        <f t="shared" si="2"/>
        <v>0</v>
      </c>
      <c r="D35" s="14">
        <f t="shared" si="0"/>
        <v>0</v>
      </c>
      <c r="E35" s="14">
        <f t="shared" si="5"/>
        <v>0</v>
      </c>
      <c r="F35" s="14">
        <f t="shared" si="4"/>
        <v>0</v>
      </c>
      <c r="G35" s="14">
        <f t="shared" si="1"/>
        <v>0</v>
      </c>
    </row>
    <row r="36" spans="1:9" x14ac:dyDescent="0.25">
      <c r="B36" s="4" t="s">
        <v>228</v>
      </c>
      <c r="C36" s="14">
        <f t="shared" si="2"/>
        <v>0</v>
      </c>
      <c r="D36" s="14">
        <f t="shared" si="0"/>
        <v>0</v>
      </c>
      <c r="E36" s="14">
        <f t="shared" si="5"/>
        <v>0</v>
      </c>
      <c r="F36" s="14">
        <f t="shared" si="4"/>
        <v>0</v>
      </c>
      <c r="G36" s="14">
        <f t="shared" si="1"/>
        <v>0</v>
      </c>
    </row>
    <row r="37" spans="1:9" x14ac:dyDescent="0.25">
      <c r="B37" s="4" t="s">
        <v>229</v>
      </c>
      <c r="C37" s="14">
        <f t="shared" si="2"/>
        <v>0</v>
      </c>
      <c r="D37" s="14">
        <f t="shared" si="0"/>
        <v>0</v>
      </c>
      <c r="E37" s="14">
        <f t="shared" si="5"/>
        <v>0</v>
      </c>
      <c r="F37" s="14">
        <f t="shared" si="4"/>
        <v>0</v>
      </c>
      <c r="G37" s="14">
        <f t="shared" si="1"/>
        <v>0</v>
      </c>
    </row>
    <row r="38" spans="1:9" x14ac:dyDescent="0.25">
      <c r="B38" s="4" t="s">
        <v>230</v>
      </c>
      <c r="C38" s="14">
        <f t="shared" si="2"/>
        <v>0</v>
      </c>
      <c r="D38" s="14">
        <f t="shared" si="0"/>
        <v>0</v>
      </c>
      <c r="E38" s="14">
        <f t="shared" si="5"/>
        <v>0</v>
      </c>
      <c r="F38" s="14">
        <f t="shared" si="4"/>
        <v>0</v>
      </c>
      <c r="G38" s="14">
        <f t="shared" si="1"/>
        <v>0</v>
      </c>
    </row>
    <row r="39" spans="1:9" x14ac:dyDescent="0.25">
      <c r="B39" s="4" t="s">
        <v>231</v>
      </c>
      <c r="C39" s="14">
        <f t="shared" si="2"/>
        <v>0</v>
      </c>
      <c r="D39" s="14">
        <f t="shared" si="0"/>
        <v>0</v>
      </c>
      <c r="E39" s="14">
        <f t="shared" si="5"/>
        <v>0</v>
      </c>
      <c r="F39" s="14">
        <f t="shared" si="4"/>
        <v>0</v>
      </c>
      <c r="G39" s="14">
        <f t="shared" si="1"/>
        <v>0</v>
      </c>
    </row>
    <row r="40" spans="1:9" x14ac:dyDescent="0.25">
      <c r="B40" s="4" t="s">
        <v>232</v>
      </c>
      <c r="C40" s="14">
        <f t="shared" si="2"/>
        <v>0</v>
      </c>
      <c r="D40" s="14">
        <f t="shared" si="0"/>
        <v>0</v>
      </c>
      <c r="E40" s="14">
        <f t="shared" si="5"/>
        <v>0</v>
      </c>
      <c r="F40" s="14">
        <f t="shared" si="4"/>
        <v>0</v>
      </c>
      <c r="G40" s="14">
        <f t="shared" si="1"/>
        <v>0</v>
      </c>
    </row>
    <row r="41" spans="1:9" x14ac:dyDescent="0.25">
      <c r="B41" s="4" t="s">
        <v>233</v>
      </c>
      <c r="C41" s="14">
        <f t="shared" si="2"/>
        <v>0</v>
      </c>
      <c r="D41" s="14">
        <f t="shared" si="0"/>
        <v>0</v>
      </c>
      <c r="E41" s="14">
        <f t="shared" si="5"/>
        <v>0</v>
      </c>
      <c r="F41" s="14">
        <f t="shared" si="4"/>
        <v>0</v>
      </c>
      <c r="G41" s="14">
        <f t="shared" si="1"/>
        <v>0</v>
      </c>
    </row>
    <row r="42" spans="1:9" x14ac:dyDescent="0.25">
      <c r="B42" s="4" t="s">
        <v>234</v>
      </c>
      <c r="C42" s="14">
        <f t="shared" si="2"/>
        <v>0</v>
      </c>
      <c r="D42" s="14">
        <f t="shared" si="0"/>
        <v>0</v>
      </c>
      <c r="E42" s="14">
        <f t="shared" si="5"/>
        <v>0</v>
      </c>
      <c r="F42" s="14">
        <f t="shared" si="4"/>
        <v>0</v>
      </c>
      <c r="G42" s="14">
        <f t="shared" si="1"/>
        <v>0</v>
      </c>
    </row>
    <row r="43" spans="1:9" x14ac:dyDescent="0.25">
      <c r="B43" s="4" t="s">
        <v>235</v>
      </c>
      <c r="C43" s="14">
        <f t="shared" si="2"/>
        <v>0</v>
      </c>
      <c r="D43" s="14">
        <f t="shared" si="0"/>
        <v>0</v>
      </c>
      <c r="E43" s="14">
        <f t="shared" si="5"/>
        <v>0</v>
      </c>
      <c r="F43" s="14">
        <f t="shared" si="4"/>
        <v>0</v>
      </c>
      <c r="G43" s="14">
        <f t="shared" si="1"/>
        <v>0</v>
      </c>
      <c r="H43" s="10">
        <f>SUM(D32:D43)</f>
        <v>0</v>
      </c>
      <c r="I43" s="10">
        <f>SUM(E32:E43)</f>
        <v>0</v>
      </c>
    </row>
    <row r="44" spans="1:9" x14ac:dyDescent="0.25">
      <c r="A44" s="1" t="s">
        <v>236</v>
      </c>
      <c r="B44" s="4" t="s">
        <v>237</v>
      </c>
      <c r="C44" s="14">
        <f t="shared" si="2"/>
        <v>0</v>
      </c>
      <c r="D44" s="14">
        <f t="shared" si="0"/>
        <v>0</v>
      </c>
      <c r="E44" s="14">
        <f t="shared" si="5"/>
        <v>0</v>
      </c>
      <c r="F44" s="14">
        <f t="shared" si="4"/>
        <v>0</v>
      </c>
      <c r="G44" s="14">
        <f t="shared" si="1"/>
        <v>0</v>
      </c>
    </row>
    <row r="45" spans="1:9" x14ac:dyDescent="0.25">
      <c r="B45" s="4" t="s">
        <v>238</v>
      </c>
      <c r="C45" s="14">
        <f t="shared" si="2"/>
        <v>0</v>
      </c>
      <c r="D45" s="14">
        <f t="shared" si="0"/>
        <v>0</v>
      </c>
      <c r="E45" s="14">
        <f t="shared" si="5"/>
        <v>0</v>
      </c>
      <c r="F45" s="14">
        <f t="shared" si="4"/>
        <v>0</v>
      </c>
      <c r="G45" s="14">
        <f t="shared" si="1"/>
        <v>0</v>
      </c>
    </row>
    <row r="46" spans="1:9" x14ac:dyDescent="0.25">
      <c r="B46" s="4" t="s">
        <v>239</v>
      </c>
      <c r="C46" s="14">
        <f t="shared" si="2"/>
        <v>0</v>
      </c>
      <c r="D46" s="14">
        <f t="shared" si="0"/>
        <v>0</v>
      </c>
      <c r="E46" s="14">
        <f t="shared" si="5"/>
        <v>0</v>
      </c>
      <c r="F46" s="14">
        <f t="shared" si="4"/>
        <v>0</v>
      </c>
      <c r="G46" s="14">
        <f t="shared" si="1"/>
        <v>0</v>
      </c>
    </row>
    <row r="47" spans="1:9" x14ac:dyDescent="0.25">
      <c r="B47" s="4" t="s">
        <v>240</v>
      </c>
      <c r="C47" s="14">
        <f t="shared" si="2"/>
        <v>0</v>
      </c>
      <c r="D47" s="14">
        <f t="shared" si="0"/>
        <v>0</v>
      </c>
      <c r="E47" s="14">
        <f t="shared" si="5"/>
        <v>0</v>
      </c>
      <c r="F47" s="14">
        <f t="shared" si="4"/>
        <v>0</v>
      </c>
      <c r="G47" s="14">
        <f t="shared" si="1"/>
        <v>0</v>
      </c>
    </row>
    <row r="48" spans="1:9" x14ac:dyDescent="0.25">
      <c r="B48" s="4" t="s">
        <v>241</v>
      </c>
      <c r="C48" s="14">
        <f t="shared" si="2"/>
        <v>0</v>
      </c>
      <c r="D48" s="14">
        <f t="shared" si="0"/>
        <v>0</v>
      </c>
      <c r="E48" s="14">
        <f t="shared" si="5"/>
        <v>0</v>
      </c>
      <c r="F48" s="14">
        <f t="shared" si="4"/>
        <v>0</v>
      </c>
      <c r="G48" s="14">
        <f t="shared" si="1"/>
        <v>0</v>
      </c>
    </row>
    <row r="49" spans="1:9" x14ac:dyDescent="0.25">
      <c r="B49" s="4" t="s">
        <v>242</v>
      </c>
      <c r="C49" s="14">
        <f t="shared" si="2"/>
        <v>0</v>
      </c>
      <c r="D49" s="14">
        <f t="shared" si="0"/>
        <v>0</v>
      </c>
      <c r="E49" s="14">
        <f t="shared" si="5"/>
        <v>0</v>
      </c>
      <c r="F49" s="14">
        <f t="shared" si="4"/>
        <v>0</v>
      </c>
      <c r="G49" s="14">
        <f t="shared" si="1"/>
        <v>0</v>
      </c>
    </row>
    <row r="50" spans="1:9" x14ac:dyDescent="0.25">
      <c r="B50" s="4" t="s">
        <v>243</v>
      </c>
      <c r="C50" s="14">
        <f t="shared" si="2"/>
        <v>0</v>
      </c>
      <c r="D50" s="14">
        <f t="shared" si="0"/>
        <v>0</v>
      </c>
      <c r="E50" s="14">
        <f t="shared" si="5"/>
        <v>0</v>
      </c>
      <c r="F50" s="14">
        <f t="shared" si="4"/>
        <v>0</v>
      </c>
      <c r="G50" s="14">
        <f t="shared" si="1"/>
        <v>0</v>
      </c>
    </row>
    <row r="51" spans="1:9" x14ac:dyDescent="0.25">
      <c r="B51" s="4" t="s">
        <v>244</v>
      </c>
      <c r="C51" s="14">
        <f t="shared" si="2"/>
        <v>0</v>
      </c>
      <c r="D51" s="14">
        <f t="shared" si="0"/>
        <v>0</v>
      </c>
      <c r="E51" s="14">
        <f t="shared" si="5"/>
        <v>0</v>
      </c>
      <c r="F51" s="14">
        <f t="shared" si="4"/>
        <v>0</v>
      </c>
      <c r="G51" s="14">
        <f t="shared" si="1"/>
        <v>0</v>
      </c>
    </row>
    <row r="52" spans="1:9" x14ac:dyDescent="0.25">
      <c r="B52" s="4" t="s">
        <v>245</v>
      </c>
      <c r="C52" s="14">
        <f t="shared" si="2"/>
        <v>0</v>
      </c>
      <c r="D52" s="14">
        <f t="shared" si="0"/>
        <v>0</v>
      </c>
      <c r="E52" s="14">
        <f t="shared" si="5"/>
        <v>0</v>
      </c>
      <c r="F52" s="14">
        <f t="shared" si="4"/>
        <v>0</v>
      </c>
      <c r="G52" s="14">
        <f t="shared" si="1"/>
        <v>0</v>
      </c>
    </row>
    <row r="53" spans="1:9" x14ac:dyDescent="0.25">
      <c r="B53" s="4" t="s">
        <v>246</v>
      </c>
      <c r="C53" s="14">
        <f t="shared" si="2"/>
        <v>0</v>
      </c>
      <c r="D53" s="14">
        <f t="shared" si="0"/>
        <v>0</v>
      </c>
      <c r="E53" s="14">
        <f t="shared" si="5"/>
        <v>0</v>
      </c>
      <c r="F53" s="14">
        <f t="shared" si="4"/>
        <v>0</v>
      </c>
      <c r="G53" s="14">
        <f t="shared" si="1"/>
        <v>0</v>
      </c>
    </row>
    <row r="54" spans="1:9" x14ac:dyDescent="0.25">
      <c r="B54" s="4" t="s">
        <v>247</v>
      </c>
      <c r="C54" s="14">
        <f t="shared" si="2"/>
        <v>0</v>
      </c>
      <c r="D54" s="14">
        <f t="shared" si="0"/>
        <v>0</v>
      </c>
      <c r="E54" s="14">
        <f t="shared" si="5"/>
        <v>0</v>
      </c>
      <c r="F54" s="14">
        <f t="shared" si="4"/>
        <v>0</v>
      </c>
      <c r="G54" s="14">
        <f t="shared" si="1"/>
        <v>0</v>
      </c>
    </row>
    <row r="55" spans="1:9" x14ac:dyDescent="0.25">
      <c r="B55" s="4" t="s">
        <v>248</v>
      </c>
      <c r="C55" s="14">
        <f t="shared" si="2"/>
        <v>0</v>
      </c>
      <c r="D55" s="14">
        <f t="shared" si="0"/>
        <v>0</v>
      </c>
      <c r="E55" s="14">
        <f t="shared" si="5"/>
        <v>0</v>
      </c>
      <c r="F55" s="14">
        <f t="shared" si="4"/>
        <v>0</v>
      </c>
      <c r="G55" s="14">
        <f t="shared" si="1"/>
        <v>0</v>
      </c>
      <c r="H55" s="10">
        <f>SUM(D44:D55)</f>
        <v>0</v>
      </c>
      <c r="I55" s="10">
        <f>SUM(E44:E55)</f>
        <v>0</v>
      </c>
    </row>
    <row r="56" spans="1:9" x14ac:dyDescent="0.25">
      <c r="A56" s="1" t="s">
        <v>249</v>
      </c>
      <c r="B56" s="4" t="s">
        <v>250</v>
      </c>
      <c r="C56" s="14">
        <f t="shared" si="2"/>
        <v>0</v>
      </c>
      <c r="D56" s="14">
        <f t="shared" si="0"/>
        <v>0</v>
      </c>
      <c r="E56" s="14">
        <f t="shared" si="5"/>
        <v>0</v>
      </c>
      <c r="F56" s="14">
        <f t="shared" si="4"/>
        <v>0</v>
      </c>
      <c r="G56" s="14">
        <f t="shared" si="1"/>
        <v>0</v>
      </c>
    </row>
    <row r="57" spans="1:9" x14ac:dyDescent="0.25">
      <c r="B57" s="4" t="s">
        <v>251</v>
      </c>
      <c r="C57" s="14">
        <f t="shared" si="2"/>
        <v>0</v>
      </c>
      <c r="D57" s="14">
        <f t="shared" si="0"/>
        <v>0</v>
      </c>
      <c r="E57" s="14">
        <f t="shared" si="5"/>
        <v>0</v>
      </c>
      <c r="F57" s="14">
        <f t="shared" si="4"/>
        <v>0</v>
      </c>
      <c r="G57" s="14">
        <f t="shared" si="1"/>
        <v>0</v>
      </c>
    </row>
    <row r="58" spans="1:9" x14ac:dyDescent="0.25">
      <c r="B58" s="4" t="s">
        <v>252</v>
      </c>
      <c r="C58" s="14">
        <f t="shared" si="2"/>
        <v>0</v>
      </c>
      <c r="D58" s="14">
        <f t="shared" si="0"/>
        <v>0</v>
      </c>
      <c r="E58" s="14">
        <f t="shared" si="5"/>
        <v>0</v>
      </c>
      <c r="F58" s="14">
        <f t="shared" si="4"/>
        <v>0</v>
      </c>
      <c r="G58" s="14">
        <f t="shared" si="1"/>
        <v>0</v>
      </c>
    </row>
    <row r="59" spans="1:9" x14ac:dyDescent="0.25">
      <c r="B59" s="4" t="s">
        <v>253</v>
      </c>
      <c r="C59" s="14">
        <f t="shared" si="2"/>
        <v>0</v>
      </c>
      <c r="D59" s="14">
        <f t="shared" si="0"/>
        <v>0</v>
      </c>
      <c r="E59" s="14">
        <f t="shared" si="5"/>
        <v>0</v>
      </c>
      <c r="F59" s="14">
        <f t="shared" si="4"/>
        <v>0</v>
      </c>
      <c r="G59" s="14">
        <f t="shared" si="1"/>
        <v>0</v>
      </c>
    </row>
    <row r="60" spans="1:9" x14ac:dyDescent="0.25">
      <c r="B60" s="4" t="s">
        <v>254</v>
      </c>
      <c r="C60" s="14">
        <f t="shared" si="2"/>
        <v>0</v>
      </c>
      <c r="D60" s="14">
        <f t="shared" si="0"/>
        <v>0</v>
      </c>
      <c r="E60" s="14">
        <f t="shared" si="5"/>
        <v>0</v>
      </c>
      <c r="F60" s="14">
        <f t="shared" si="4"/>
        <v>0</v>
      </c>
      <c r="G60" s="14">
        <f t="shared" si="1"/>
        <v>0</v>
      </c>
    </row>
    <row r="61" spans="1:9" x14ac:dyDescent="0.25">
      <c r="B61" s="4" t="s">
        <v>255</v>
      </c>
      <c r="C61" s="14">
        <f t="shared" si="2"/>
        <v>0</v>
      </c>
      <c r="D61" s="14">
        <f t="shared" si="0"/>
        <v>0</v>
      </c>
      <c r="E61" s="14">
        <f t="shared" si="5"/>
        <v>0</v>
      </c>
      <c r="F61" s="14">
        <f t="shared" si="4"/>
        <v>0</v>
      </c>
      <c r="G61" s="14">
        <f t="shared" si="1"/>
        <v>0</v>
      </c>
    </row>
    <row r="62" spans="1:9" x14ac:dyDescent="0.25">
      <c r="B62" s="4" t="s">
        <v>256</v>
      </c>
      <c r="C62" s="14">
        <f t="shared" si="2"/>
        <v>0</v>
      </c>
      <c r="D62" s="14">
        <f t="shared" si="0"/>
        <v>0</v>
      </c>
      <c r="E62" s="14">
        <f t="shared" si="5"/>
        <v>0</v>
      </c>
      <c r="F62" s="14">
        <f t="shared" si="4"/>
        <v>0</v>
      </c>
      <c r="G62" s="14">
        <f t="shared" si="1"/>
        <v>0</v>
      </c>
    </row>
    <row r="63" spans="1:9" x14ac:dyDescent="0.25">
      <c r="B63" s="4" t="s">
        <v>257</v>
      </c>
      <c r="C63" s="14">
        <f t="shared" si="2"/>
        <v>0</v>
      </c>
      <c r="D63" s="14">
        <f t="shared" si="0"/>
        <v>0</v>
      </c>
      <c r="E63" s="14">
        <f t="shared" si="5"/>
        <v>0</v>
      </c>
      <c r="F63" s="14">
        <f t="shared" si="4"/>
        <v>0</v>
      </c>
      <c r="G63" s="14">
        <f t="shared" si="1"/>
        <v>0</v>
      </c>
    </row>
    <row r="64" spans="1:9" x14ac:dyDescent="0.25">
      <c r="B64" s="4" t="s">
        <v>258</v>
      </c>
      <c r="C64" s="14">
        <f t="shared" si="2"/>
        <v>0</v>
      </c>
      <c r="D64" s="14">
        <f t="shared" si="0"/>
        <v>0</v>
      </c>
      <c r="E64" s="14">
        <f t="shared" si="5"/>
        <v>0</v>
      </c>
      <c r="F64" s="14">
        <f t="shared" si="4"/>
        <v>0</v>
      </c>
      <c r="G64" s="14">
        <f t="shared" si="1"/>
        <v>0</v>
      </c>
    </row>
    <row r="65" spans="1:9" x14ac:dyDescent="0.25">
      <c r="B65" s="4" t="s">
        <v>259</v>
      </c>
      <c r="C65" s="14">
        <f t="shared" si="2"/>
        <v>0</v>
      </c>
      <c r="D65" s="14">
        <f t="shared" si="0"/>
        <v>0</v>
      </c>
      <c r="E65" s="14">
        <f t="shared" si="5"/>
        <v>0</v>
      </c>
      <c r="F65" s="14">
        <f t="shared" si="4"/>
        <v>0</v>
      </c>
      <c r="G65" s="14">
        <f t="shared" si="1"/>
        <v>0</v>
      </c>
    </row>
    <row r="66" spans="1:9" x14ac:dyDescent="0.25">
      <c r="B66" s="4" t="s">
        <v>260</v>
      </c>
      <c r="C66" s="14">
        <f t="shared" si="2"/>
        <v>0</v>
      </c>
      <c r="D66" s="14">
        <f t="shared" si="0"/>
        <v>0</v>
      </c>
      <c r="E66" s="14">
        <f t="shared" si="5"/>
        <v>0</v>
      </c>
      <c r="F66" s="14">
        <f t="shared" si="4"/>
        <v>0</v>
      </c>
      <c r="G66" s="14">
        <f t="shared" si="1"/>
        <v>0</v>
      </c>
    </row>
    <row r="67" spans="1:9" x14ac:dyDescent="0.25">
      <c r="B67" s="4" t="s">
        <v>261</v>
      </c>
      <c r="C67" s="14">
        <f t="shared" si="2"/>
        <v>0</v>
      </c>
      <c r="D67" s="14">
        <f t="shared" si="0"/>
        <v>0</v>
      </c>
      <c r="E67" s="14">
        <f t="shared" si="5"/>
        <v>0</v>
      </c>
      <c r="F67" s="14">
        <f t="shared" si="4"/>
        <v>0</v>
      </c>
      <c r="G67" s="14">
        <f t="shared" si="1"/>
        <v>0</v>
      </c>
      <c r="H67" s="10">
        <f>SUM(D56:D67)</f>
        <v>0</v>
      </c>
      <c r="I67" s="10">
        <f>SUM(E56:E67)</f>
        <v>0</v>
      </c>
    </row>
    <row r="68" spans="1:9" x14ac:dyDescent="0.25">
      <c r="A68" s="1" t="s">
        <v>262</v>
      </c>
      <c r="B68" s="4" t="s">
        <v>263</v>
      </c>
      <c r="C68" s="14">
        <f t="shared" si="2"/>
        <v>0</v>
      </c>
      <c r="D68" s="14">
        <f t="shared" si="0"/>
        <v>0</v>
      </c>
      <c r="E68" s="14">
        <f t="shared" si="5"/>
        <v>0</v>
      </c>
      <c r="F68" s="14">
        <f t="shared" si="4"/>
        <v>0</v>
      </c>
      <c r="G68" s="14">
        <f t="shared" si="1"/>
        <v>0</v>
      </c>
    </row>
    <row r="69" spans="1:9" x14ac:dyDescent="0.25">
      <c r="B69" s="4" t="s">
        <v>264</v>
      </c>
      <c r="C69" s="14">
        <f t="shared" si="2"/>
        <v>0</v>
      </c>
      <c r="D69" s="14">
        <f t="shared" si="0"/>
        <v>0</v>
      </c>
      <c r="E69" s="14">
        <f t="shared" si="5"/>
        <v>0</v>
      </c>
      <c r="F69" s="14">
        <f t="shared" si="4"/>
        <v>0</v>
      </c>
      <c r="G69" s="14">
        <f t="shared" si="1"/>
        <v>0</v>
      </c>
    </row>
    <row r="70" spans="1:9" x14ac:dyDescent="0.25">
      <c r="B70" s="4" t="s">
        <v>265</v>
      </c>
      <c r="C70" s="14">
        <f t="shared" si="2"/>
        <v>0</v>
      </c>
      <c r="D70" s="14">
        <f t="shared" si="0"/>
        <v>0</v>
      </c>
      <c r="E70" s="14">
        <f t="shared" si="5"/>
        <v>0</v>
      </c>
      <c r="F70" s="14">
        <f t="shared" si="4"/>
        <v>0</v>
      </c>
      <c r="G70" s="14">
        <f t="shared" si="1"/>
        <v>0</v>
      </c>
    </row>
    <row r="71" spans="1:9" x14ac:dyDescent="0.25">
      <c r="B71" s="4" t="s">
        <v>266</v>
      </c>
      <c r="C71" s="14">
        <f t="shared" si="2"/>
        <v>0</v>
      </c>
      <c r="D71" s="14">
        <f t="shared" si="0"/>
        <v>0</v>
      </c>
      <c r="E71" s="14">
        <f t="shared" si="5"/>
        <v>0</v>
      </c>
      <c r="F71" s="14">
        <f t="shared" si="4"/>
        <v>0</v>
      </c>
      <c r="G71" s="14">
        <f t="shared" si="1"/>
        <v>0</v>
      </c>
    </row>
    <row r="72" spans="1:9" x14ac:dyDescent="0.25">
      <c r="B72" s="4" t="s">
        <v>267</v>
      </c>
      <c r="C72" s="14">
        <f t="shared" si="2"/>
        <v>0</v>
      </c>
      <c r="D72" s="14">
        <f t="shared" ref="D72:D91" si="6">C72*$D$5/12</f>
        <v>0</v>
      </c>
      <c r="E72" s="14">
        <f t="shared" si="5"/>
        <v>0</v>
      </c>
      <c r="F72" s="14">
        <f t="shared" si="4"/>
        <v>0</v>
      </c>
      <c r="G72" s="14">
        <f t="shared" si="1"/>
        <v>0</v>
      </c>
    </row>
    <row r="73" spans="1:9" x14ac:dyDescent="0.25">
      <c r="B73" s="4" t="s">
        <v>268</v>
      </c>
      <c r="C73" s="14">
        <f t="shared" si="2"/>
        <v>0</v>
      </c>
      <c r="D73" s="14">
        <f t="shared" si="6"/>
        <v>0</v>
      </c>
      <c r="E73" s="14">
        <f t="shared" si="5"/>
        <v>0</v>
      </c>
      <c r="F73" s="14">
        <f t="shared" si="4"/>
        <v>0</v>
      </c>
      <c r="G73" s="14">
        <f t="shared" ref="G73:G91" si="7">C73-E73</f>
        <v>0</v>
      </c>
    </row>
    <row r="74" spans="1:9" x14ac:dyDescent="0.25">
      <c r="B74" s="4" t="s">
        <v>269</v>
      </c>
      <c r="C74" s="14">
        <f t="shared" ref="C74:C91" si="8">G73</f>
        <v>0</v>
      </c>
      <c r="D74" s="14">
        <f t="shared" si="6"/>
        <v>0</v>
      </c>
      <c r="E74" s="14">
        <f t="shared" si="5"/>
        <v>0</v>
      </c>
      <c r="F74" s="14">
        <f t="shared" si="4"/>
        <v>0</v>
      </c>
      <c r="G74" s="14">
        <f t="shared" si="7"/>
        <v>0</v>
      </c>
    </row>
    <row r="75" spans="1:9" x14ac:dyDescent="0.25">
      <c r="B75" s="4" t="s">
        <v>270</v>
      </c>
      <c r="C75" s="14">
        <f t="shared" si="8"/>
        <v>0</v>
      </c>
      <c r="D75" s="14">
        <f t="shared" si="6"/>
        <v>0</v>
      </c>
      <c r="E75" s="14">
        <f t="shared" si="5"/>
        <v>0</v>
      </c>
      <c r="F75" s="14">
        <f t="shared" si="4"/>
        <v>0</v>
      </c>
      <c r="G75" s="14">
        <f t="shared" si="7"/>
        <v>0</v>
      </c>
    </row>
    <row r="76" spans="1:9" x14ac:dyDescent="0.25">
      <c r="B76" s="4" t="s">
        <v>271</v>
      </c>
      <c r="C76" s="14">
        <f t="shared" si="8"/>
        <v>0</v>
      </c>
      <c r="D76" s="14">
        <f t="shared" si="6"/>
        <v>0</v>
      </c>
      <c r="E76" s="14">
        <f t="shared" si="5"/>
        <v>0</v>
      </c>
      <c r="F76" s="14">
        <f t="shared" si="4"/>
        <v>0</v>
      </c>
      <c r="G76" s="14">
        <f t="shared" si="7"/>
        <v>0</v>
      </c>
    </row>
    <row r="77" spans="1:9" x14ac:dyDescent="0.25">
      <c r="B77" s="4" t="s">
        <v>272</v>
      </c>
      <c r="C77" s="14">
        <f t="shared" si="8"/>
        <v>0</v>
      </c>
      <c r="D77" s="14">
        <f t="shared" si="6"/>
        <v>0</v>
      </c>
      <c r="E77" s="14">
        <f t="shared" si="5"/>
        <v>0</v>
      </c>
      <c r="F77" s="14">
        <f t="shared" si="4"/>
        <v>0</v>
      </c>
      <c r="G77" s="14">
        <f t="shared" si="7"/>
        <v>0</v>
      </c>
    </row>
    <row r="78" spans="1:9" x14ac:dyDescent="0.25">
      <c r="B78" s="4" t="s">
        <v>273</v>
      </c>
      <c r="C78" s="14">
        <f t="shared" si="8"/>
        <v>0</v>
      </c>
      <c r="D78" s="14">
        <f t="shared" si="6"/>
        <v>0</v>
      </c>
      <c r="E78" s="14">
        <f t="shared" si="5"/>
        <v>0</v>
      </c>
      <c r="F78" s="14">
        <f t="shared" si="4"/>
        <v>0</v>
      </c>
      <c r="G78" s="14">
        <f t="shared" si="7"/>
        <v>0</v>
      </c>
    </row>
    <row r="79" spans="1:9" x14ac:dyDescent="0.25">
      <c r="B79" s="4" t="s">
        <v>274</v>
      </c>
      <c r="C79" s="14">
        <f t="shared" si="8"/>
        <v>0</v>
      </c>
      <c r="D79" s="14">
        <f t="shared" si="6"/>
        <v>0</v>
      </c>
      <c r="E79" s="14">
        <f t="shared" si="5"/>
        <v>0</v>
      </c>
      <c r="F79" s="14">
        <f t="shared" si="4"/>
        <v>0</v>
      </c>
      <c r="G79" s="14">
        <f t="shared" si="7"/>
        <v>0</v>
      </c>
      <c r="H79" s="10">
        <f>SUM(D68:D79)</f>
        <v>0</v>
      </c>
      <c r="I79" s="10">
        <f>SUM(E68:E79)</f>
        <v>0</v>
      </c>
    </row>
    <row r="80" spans="1:9" x14ac:dyDescent="0.25">
      <c r="A80" s="1" t="s">
        <v>287</v>
      </c>
      <c r="B80" s="4" t="s">
        <v>275</v>
      </c>
      <c r="C80" s="14">
        <f t="shared" si="8"/>
        <v>0</v>
      </c>
      <c r="D80" s="14">
        <f t="shared" si="6"/>
        <v>0</v>
      </c>
      <c r="E80" s="14">
        <f t="shared" si="5"/>
        <v>0</v>
      </c>
      <c r="F80" s="14">
        <f t="shared" si="4"/>
        <v>0</v>
      </c>
      <c r="G80" s="14">
        <f t="shared" si="7"/>
        <v>0</v>
      </c>
    </row>
    <row r="81" spans="1:9" x14ac:dyDescent="0.25">
      <c r="A81" s="15"/>
      <c r="B81" s="4" t="s">
        <v>276</v>
      </c>
      <c r="C81" s="14">
        <f t="shared" si="8"/>
        <v>0</v>
      </c>
      <c r="D81" s="14">
        <f t="shared" si="6"/>
        <v>0</v>
      </c>
      <c r="E81" s="14">
        <f t="shared" si="5"/>
        <v>0</v>
      </c>
      <c r="F81" s="14">
        <f t="shared" si="4"/>
        <v>0</v>
      </c>
      <c r="G81" s="14">
        <f t="shared" si="7"/>
        <v>0</v>
      </c>
    </row>
    <row r="82" spans="1:9" x14ac:dyDescent="0.25">
      <c r="A82" s="15"/>
      <c r="B82" s="4" t="s">
        <v>277</v>
      </c>
      <c r="C82" s="14">
        <f t="shared" si="8"/>
        <v>0</v>
      </c>
      <c r="D82" s="14">
        <f t="shared" si="6"/>
        <v>0</v>
      </c>
      <c r="E82" s="14">
        <f t="shared" si="5"/>
        <v>0</v>
      </c>
      <c r="F82" s="14">
        <f t="shared" si="4"/>
        <v>0</v>
      </c>
      <c r="G82" s="14">
        <f t="shared" si="7"/>
        <v>0</v>
      </c>
    </row>
    <row r="83" spans="1:9" x14ac:dyDescent="0.25">
      <c r="A83" s="15"/>
      <c r="B83" s="4" t="s">
        <v>278</v>
      </c>
      <c r="C83" s="14">
        <f t="shared" si="8"/>
        <v>0</v>
      </c>
      <c r="D83" s="14">
        <f t="shared" si="6"/>
        <v>0</v>
      </c>
      <c r="E83" s="14">
        <f t="shared" si="5"/>
        <v>0</v>
      </c>
      <c r="F83" s="14">
        <f t="shared" si="4"/>
        <v>0</v>
      </c>
      <c r="G83" s="14">
        <f t="shared" si="7"/>
        <v>0</v>
      </c>
    </row>
    <row r="84" spans="1:9" x14ac:dyDescent="0.25">
      <c r="A84" s="15"/>
      <c r="B84" s="4" t="s">
        <v>279</v>
      </c>
      <c r="C84" s="14">
        <f t="shared" si="8"/>
        <v>0</v>
      </c>
      <c r="D84" s="14">
        <f t="shared" si="6"/>
        <v>0</v>
      </c>
      <c r="E84" s="14">
        <f t="shared" si="5"/>
        <v>0</v>
      </c>
      <c r="F84" s="14">
        <f t="shared" si="4"/>
        <v>0</v>
      </c>
      <c r="G84" s="14">
        <f t="shared" si="7"/>
        <v>0</v>
      </c>
    </row>
    <row r="85" spans="1:9" x14ac:dyDescent="0.25">
      <c r="A85" s="15"/>
      <c r="B85" s="4" t="s">
        <v>280</v>
      </c>
      <c r="C85" s="14">
        <f t="shared" si="8"/>
        <v>0</v>
      </c>
      <c r="D85" s="14">
        <f t="shared" si="6"/>
        <v>0</v>
      </c>
      <c r="E85" s="14">
        <f t="shared" si="5"/>
        <v>0</v>
      </c>
      <c r="F85" s="14">
        <f t="shared" ref="F85:F91" si="9">D85+E85</f>
        <v>0</v>
      </c>
      <c r="G85" s="14">
        <f t="shared" si="7"/>
        <v>0</v>
      </c>
    </row>
    <row r="86" spans="1:9" x14ac:dyDescent="0.25">
      <c r="A86" s="15"/>
      <c r="B86" s="4" t="s">
        <v>281</v>
      </c>
      <c r="C86" s="14">
        <f t="shared" si="8"/>
        <v>0</v>
      </c>
      <c r="D86" s="14">
        <f t="shared" si="6"/>
        <v>0</v>
      </c>
      <c r="E86" s="14">
        <f t="shared" ref="E86:E91" si="10">$E$20</f>
        <v>0</v>
      </c>
      <c r="F86" s="14">
        <f t="shared" si="9"/>
        <v>0</v>
      </c>
      <c r="G86" s="14">
        <f t="shared" si="7"/>
        <v>0</v>
      </c>
    </row>
    <row r="87" spans="1:9" x14ac:dyDescent="0.25">
      <c r="A87" s="15"/>
      <c r="B87" s="4" t="s">
        <v>282</v>
      </c>
      <c r="C87" s="14">
        <f t="shared" si="8"/>
        <v>0</v>
      </c>
      <c r="D87" s="14">
        <f t="shared" si="6"/>
        <v>0</v>
      </c>
      <c r="E87" s="14">
        <f t="shared" si="10"/>
        <v>0</v>
      </c>
      <c r="F87" s="14">
        <f t="shared" si="9"/>
        <v>0</v>
      </c>
      <c r="G87" s="14">
        <f t="shared" si="7"/>
        <v>0</v>
      </c>
    </row>
    <row r="88" spans="1:9" x14ac:dyDescent="0.25">
      <c r="A88" s="15"/>
      <c r="B88" s="4" t="s">
        <v>283</v>
      </c>
      <c r="C88" s="14">
        <f t="shared" si="8"/>
        <v>0</v>
      </c>
      <c r="D88" s="14">
        <f t="shared" si="6"/>
        <v>0</v>
      </c>
      <c r="E88" s="14">
        <f t="shared" si="10"/>
        <v>0</v>
      </c>
      <c r="F88" s="14">
        <f t="shared" si="9"/>
        <v>0</v>
      </c>
      <c r="G88" s="14">
        <f t="shared" si="7"/>
        <v>0</v>
      </c>
    </row>
    <row r="89" spans="1:9" x14ac:dyDescent="0.25">
      <c r="A89" s="15"/>
      <c r="B89" s="4" t="s">
        <v>284</v>
      </c>
      <c r="C89" s="14">
        <f t="shared" si="8"/>
        <v>0</v>
      </c>
      <c r="D89" s="14">
        <f t="shared" si="6"/>
        <v>0</v>
      </c>
      <c r="E89" s="14">
        <f t="shared" si="10"/>
        <v>0</v>
      </c>
      <c r="F89" s="14">
        <f t="shared" si="9"/>
        <v>0</v>
      </c>
      <c r="G89" s="14">
        <f t="shared" si="7"/>
        <v>0</v>
      </c>
    </row>
    <row r="90" spans="1:9" x14ac:dyDescent="0.25">
      <c r="A90" s="15"/>
      <c r="B90" s="4" t="s">
        <v>285</v>
      </c>
      <c r="C90" s="14">
        <f t="shared" si="8"/>
        <v>0</v>
      </c>
      <c r="D90" s="14">
        <f t="shared" si="6"/>
        <v>0</v>
      </c>
      <c r="E90" s="14">
        <f t="shared" si="10"/>
        <v>0</v>
      </c>
      <c r="F90" s="14">
        <f t="shared" si="9"/>
        <v>0</v>
      </c>
      <c r="G90" s="14">
        <f t="shared" si="7"/>
        <v>0</v>
      </c>
    </row>
    <row r="91" spans="1:9" x14ac:dyDescent="0.25">
      <c r="A91" s="15"/>
      <c r="B91" s="4" t="s">
        <v>286</v>
      </c>
      <c r="C91" s="14">
        <f t="shared" si="8"/>
        <v>0</v>
      </c>
      <c r="D91" s="14">
        <f t="shared" si="6"/>
        <v>0</v>
      </c>
      <c r="E91" s="14">
        <f t="shared" si="10"/>
        <v>0</v>
      </c>
      <c r="F91" s="14">
        <f t="shared" si="9"/>
        <v>0</v>
      </c>
      <c r="G91" s="14">
        <f t="shared" si="7"/>
        <v>0</v>
      </c>
      <c r="H91" s="10">
        <f>SUM(D80:D91)</f>
        <v>0</v>
      </c>
      <c r="I91" s="10">
        <f>SUM(E80:E91)</f>
        <v>0</v>
      </c>
    </row>
    <row r="92" spans="1:9" x14ac:dyDescent="0.25">
      <c r="A92" s="15"/>
      <c r="B92" s="15"/>
      <c r="C92" s="15"/>
      <c r="D92" s="15"/>
      <c r="E92" s="15"/>
      <c r="F92" s="15"/>
      <c r="G92" s="15"/>
    </row>
    <row r="93" spans="1:9" x14ac:dyDescent="0.25">
      <c r="A93" s="15"/>
      <c r="B93" s="15"/>
      <c r="C93" s="15"/>
      <c r="D93" s="15"/>
      <c r="E93" s="15"/>
      <c r="F93" s="15"/>
      <c r="G93" s="15"/>
    </row>
    <row r="94" spans="1:9" x14ac:dyDescent="0.25">
      <c r="A94" s="15"/>
      <c r="B94" s="15"/>
      <c r="C94" s="15"/>
      <c r="D94" s="15"/>
      <c r="E94" s="15"/>
      <c r="F94" s="15"/>
      <c r="G94" s="15"/>
    </row>
    <row r="95" spans="1:9" x14ac:dyDescent="0.25">
      <c r="A95" s="15"/>
      <c r="B95" s="15"/>
      <c r="C95" s="15"/>
      <c r="D95" s="15"/>
      <c r="E95" s="15"/>
      <c r="F95" s="15"/>
      <c r="G95" s="15"/>
    </row>
    <row r="96" spans="1:9" x14ac:dyDescent="0.25">
      <c r="A96" s="15"/>
      <c r="B96" s="15"/>
      <c r="C96" s="15"/>
      <c r="D96" s="15"/>
      <c r="E96" s="15"/>
      <c r="F96" s="15"/>
      <c r="G96" s="15"/>
    </row>
    <row r="97" spans="1:7" x14ac:dyDescent="0.25">
      <c r="A97" s="15"/>
      <c r="B97" s="15"/>
      <c r="C97" s="15"/>
      <c r="D97" s="15"/>
      <c r="E97" s="15"/>
      <c r="F97" s="15"/>
      <c r="G97" s="15"/>
    </row>
  </sheetData>
  <mergeCells count="2">
    <mergeCell ref="B1:G1"/>
    <mergeCell ref="B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zoomScale="60" zoomScaleNormal="100" workbookViewId="0">
      <selection activeCell="A4" sqref="A4:K19"/>
    </sheetView>
  </sheetViews>
  <sheetFormatPr defaultRowHeight="14.25" x14ac:dyDescent="0.2"/>
  <cols>
    <col min="1" max="1" width="31" style="133" customWidth="1"/>
    <col min="2" max="16384" width="9.140625" style="133"/>
  </cols>
  <sheetData>
    <row r="2" spans="1:15" ht="15" x14ac:dyDescent="0.25">
      <c r="A2" s="393" t="s">
        <v>515</v>
      </c>
      <c r="B2" s="393"/>
      <c r="C2" s="393"/>
      <c r="D2" s="393"/>
      <c r="E2" s="393"/>
      <c r="F2" s="393"/>
      <c r="G2" s="393"/>
      <c r="H2" s="393"/>
      <c r="I2" s="168"/>
      <c r="J2" s="168"/>
      <c r="K2" s="168"/>
    </row>
    <row r="4" spans="1:15" x14ac:dyDescent="0.2">
      <c r="A4" s="160" t="s">
        <v>1</v>
      </c>
      <c r="B4" s="160" t="s">
        <v>36</v>
      </c>
      <c r="C4" s="160" t="s">
        <v>37</v>
      </c>
      <c r="D4" s="160" t="s">
        <v>38</v>
      </c>
      <c r="E4" s="160" t="s">
        <v>39</v>
      </c>
      <c r="F4" s="160" t="s">
        <v>40</v>
      </c>
      <c r="G4" s="160" t="s">
        <v>41</v>
      </c>
      <c r="H4" s="160" t="s">
        <v>42</v>
      </c>
      <c r="I4" s="160" t="s">
        <v>494</v>
      </c>
      <c r="J4" s="160" t="s">
        <v>495</v>
      </c>
      <c r="K4" s="160" t="s">
        <v>496</v>
      </c>
    </row>
    <row r="5" spans="1:15" x14ac:dyDescent="0.2">
      <c r="A5" s="169"/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5" x14ac:dyDescent="0.2">
      <c r="A6" s="116" t="s">
        <v>348</v>
      </c>
      <c r="B6" s="124">
        <f>'P&amp;L'!B36</f>
        <v>11.830354000000007</v>
      </c>
      <c r="C6" s="124">
        <f>'P&amp;L'!C36</f>
        <v>18.23995444312499</v>
      </c>
      <c r="D6" s="124">
        <f>'P&amp;L'!D36</f>
        <v>20.879214274031238</v>
      </c>
      <c r="E6" s="124">
        <f>'P&amp;L'!E36</f>
        <v>25.79791272085783</v>
      </c>
      <c r="F6" s="124">
        <f>'P&amp;L'!F36</f>
        <v>30.989471296275724</v>
      </c>
      <c r="G6" s="124">
        <f>'P&amp;L'!G36</f>
        <v>37.429624704214504</v>
      </c>
      <c r="H6" s="124">
        <f>'P&amp;L'!H36</f>
        <v>44.211621754406536</v>
      </c>
      <c r="I6" s="124">
        <f>'P&amp;L'!I36</f>
        <v>52.890604986562735</v>
      </c>
      <c r="J6" s="124">
        <f>'P&amp;L'!J36</f>
        <v>61.411021301319678</v>
      </c>
      <c r="K6" s="124">
        <f>'P&amp;L'!K36</f>
        <v>71.777770852395662</v>
      </c>
    </row>
    <row r="7" spans="1:15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1:15" x14ac:dyDescent="0.2">
      <c r="A8" s="116" t="s">
        <v>516</v>
      </c>
      <c r="B8" s="394">
        <f>SUM(B6:K6)/10</f>
        <v>37.545755033318891</v>
      </c>
      <c r="C8" s="395"/>
      <c r="D8" s="395"/>
      <c r="E8" s="395"/>
      <c r="F8" s="395"/>
      <c r="G8" s="395"/>
      <c r="H8" s="395"/>
      <c r="I8" s="395"/>
      <c r="J8" s="395"/>
      <c r="K8" s="396"/>
    </row>
    <row r="9" spans="1:15" x14ac:dyDescent="0.2">
      <c r="A9" s="116" t="s">
        <v>517</v>
      </c>
      <c r="B9" s="397">
        <f>'Project Glance'!B23</f>
        <v>207.80393333333336</v>
      </c>
      <c r="C9" s="395"/>
      <c r="D9" s="395"/>
      <c r="E9" s="395"/>
      <c r="F9" s="395"/>
      <c r="G9" s="395"/>
      <c r="H9" s="395"/>
      <c r="I9" s="395"/>
      <c r="J9" s="395"/>
      <c r="K9" s="396"/>
    </row>
    <row r="10" spans="1:15" x14ac:dyDescent="0.2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5" s="139" customFormat="1" ht="15" x14ac:dyDescent="0.25">
      <c r="A11" s="171" t="s">
        <v>519</v>
      </c>
      <c r="B11" s="398">
        <f>B8/B9*100</f>
        <v>18.067875054651942</v>
      </c>
      <c r="C11" s="399"/>
      <c r="D11" s="399"/>
      <c r="E11" s="399"/>
      <c r="F11" s="399"/>
      <c r="G11" s="399"/>
      <c r="H11" s="399"/>
      <c r="I11" s="399"/>
      <c r="J11" s="399"/>
      <c r="K11" s="400"/>
    </row>
    <row r="12" spans="1:15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5" ht="12" hidden="1" customHeight="1" x14ac:dyDescent="0.2">
      <c r="A13" s="116" t="s">
        <v>520</v>
      </c>
      <c r="B13" s="394">
        <f>'Project Glance'!B23-'Project Glance'!B20</f>
        <v>84.550733333333355</v>
      </c>
      <c r="C13" s="395"/>
      <c r="D13" s="395"/>
      <c r="E13" s="395"/>
      <c r="F13" s="395"/>
      <c r="G13" s="395"/>
      <c r="H13" s="395"/>
      <c r="I13" s="395"/>
      <c r="J13" s="395"/>
      <c r="K13" s="396"/>
    </row>
    <row r="14" spans="1:15" ht="12" hidden="1" customHeight="1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5" s="139" customFormat="1" ht="12" hidden="1" customHeight="1" x14ac:dyDescent="0.25">
      <c r="A15" s="171" t="s">
        <v>521</v>
      </c>
      <c r="B15" s="398">
        <f>(B8/B13)*100</f>
        <v>44.406184965065016</v>
      </c>
      <c r="C15" s="399"/>
      <c r="D15" s="399"/>
      <c r="E15" s="399"/>
      <c r="F15" s="399"/>
      <c r="G15" s="399"/>
      <c r="H15" s="399"/>
      <c r="I15" s="399"/>
      <c r="J15" s="399"/>
      <c r="K15" s="400"/>
    </row>
    <row r="16" spans="1:15" x14ac:dyDescent="0.2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M16" s="283">
        <f>B9</f>
        <v>207.80393333333336</v>
      </c>
      <c r="O16" s="283">
        <f>B13</f>
        <v>84.550733333333355</v>
      </c>
    </row>
    <row r="17" spans="1:15" s="139" customFormat="1" ht="15" x14ac:dyDescent="0.25">
      <c r="A17" s="280" t="s">
        <v>522</v>
      </c>
      <c r="B17" s="390" t="s">
        <v>740</v>
      </c>
      <c r="C17" s="391"/>
      <c r="D17" s="391"/>
      <c r="E17" s="391"/>
      <c r="F17" s="391"/>
      <c r="G17" s="391"/>
      <c r="H17" s="391"/>
      <c r="I17" s="391"/>
      <c r="J17" s="391"/>
      <c r="K17" s="392"/>
      <c r="M17" s="284">
        <f>SUM(B6:H6)</f>
        <v>189.37815319291084</v>
      </c>
      <c r="O17" s="284">
        <f>SUM(B6:E6)</f>
        <v>76.747435438014065</v>
      </c>
    </row>
    <row r="18" spans="1:15" x14ac:dyDescent="0.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M18" s="283">
        <f>M16-M17</f>
        <v>18.425780140422518</v>
      </c>
      <c r="O18" s="283">
        <f>O16-O17</f>
        <v>7.8032978953192895</v>
      </c>
    </row>
    <row r="19" spans="1:15" ht="15" x14ac:dyDescent="0.25">
      <c r="A19" s="280" t="s">
        <v>523</v>
      </c>
      <c r="B19" s="390" t="s">
        <v>739</v>
      </c>
      <c r="C19" s="391"/>
      <c r="D19" s="391"/>
      <c r="E19" s="391"/>
      <c r="F19" s="391"/>
      <c r="G19" s="391"/>
      <c r="H19" s="391"/>
      <c r="I19" s="391"/>
      <c r="J19" s="391"/>
      <c r="K19" s="392"/>
      <c r="M19" s="133">
        <f>M18*12/I6</f>
        <v>4.1805035457855837</v>
      </c>
      <c r="O19" s="133">
        <f>O18*12/F6</f>
        <v>3.0216577058894503</v>
      </c>
    </row>
    <row r="21" spans="1:15" x14ac:dyDescent="0.2">
      <c r="M21" s="133" t="s">
        <v>593</v>
      </c>
      <c r="O21" s="133" t="s">
        <v>592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view="pageBreakPreview" zoomScale="60" zoomScaleNormal="100" workbookViewId="0">
      <selection activeCell="K21" sqref="A4:K21"/>
    </sheetView>
  </sheetViews>
  <sheetFormatPr defaultRowHeight="14.25" x14ac:dyDescent="0.2"/>
  <cols>
    <col min="1" max="1" width="38.42578125" style="133" customWidth="1"/>
    <col min="2" max="2" width="11.85546875" style="133" bestFit="1" customWidth="1"/>
    <col min="3" max="11" width="6.85546875" style="133" bestFit="1" customWidth="1"/>
    <col min="12" max="16384" width="9.140625" style="133"/>
  </cols>
  <sheetData>
    <row r="2" spans="1:11" ht="15" x14ac:dyDescent="0.25">
      <c r="A2" s="393" t="s">
        <v>505</v>
      </c>
      <c r="B2" s="393"/>
      <c r="C2" s="393"/>
      <c r="D2" s="393"/>
      <c r="E2" s="393"/>
      <c r="F2" s="393"/>
      <c r="G2" s="393"/>
      <c r="H2" s="393"/>
    </row>
    <row r="4" spans="1:11" ht="15" x14ac:dyDescent="0.25">
      <c r="A4" s="114" t="s">
        <v>493</v>
      </c>
      <c r="B4" s="114" t="s">
        <v>36</v>
      </c>
      <c r="C4" s="114" t="s">
        <v>37</v>
      </c>
      <c r="D4" s="114" t="s">
        <v>38</v>
      </c>
      <c r="E4" s="114" t="s">
        <v>39</v>
      </c>
      <c r="F4" s="114" t="s">
        <v>40</v>
      </c>
      <c r="G4" s="114" t="s">
        <v>41</v>
      </c>
      <c r="H4" s="114" t="s">
        <v>42</v>
      </c>
      <c r="I4" s="114" t="s">
        <v>494</v>
      </c>
      <c r="J4" s="114" t="s">
        <v>495</v>
      </c>
      <c r="K4" s="114" t="s">
        <v>496</v>
      </c>
    </row>
    <row r="5" spans="1:11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1" x14ac:dyDescent="0.2">
      <c r="A6" s="116" t="s">
        <v>497</v>
      </c>
      <c r="B6" s="167">
        <f>'P&amp;L'!B36</f>
        <v>11.830354000000007</v>
      </c>
      <c r="C6" s="167">
        <f>'P&amp;L'!C36</f>
        <v>18.23995444312499</v>
      </c>
      <c r="D6" s="167">
        <f>'P&amp;L'!D36</f>
        <v>20.879214274031238</v>
      </c>
      <c r="E6" s="167">
        <f>'P&amp;L'!E36</f>
        <v>25.79791272085783</v>
      </c>
      <c r="F6" s="167">
        <f>'P&amp;L'!F36</f>
        <v>30.989471296275724</v>
      </c>
      <c r="G6" s="167">
        <f>'P&amp;L'!G36</f>
        <v>37.429624704214504</v>
      </c>
      <c r="H6" s="167">
        <f>'P&amp;L'!H36</f>
        <v>44.211621754406536</v>
      </c>
      <c r="I6" s="167">
        <f>'P&amp;L'!I36</f>
        <v>52.890604986562735</v>
      </c>
      <c r="J6" s="167">
        <f>'P&amp;L'!J36</f>
        <v>61.411021301319678</v>
      </c>
      <c r="K6" s="167">
        <f>'P&amp;L'!K36</f>
        <v>71.777770852395662</v>
      </c>
    </row>
    <row r="7" spans="1:1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1:11" x14ac:dyDescent="0.2">
      <c r="A8" s="116" t="s">
        <v>506</v>
      </c>
      <c r="B8" s="167">
        <f>'P&amp;L'!B32</f>
        <v>9.4711239999999997</v>
      </c>
      <c r="C8" s="167">
        <f>'P&amp;L'!C32</f>
        <v>9.4711239999999997</v>
      </c>
      <c r="D8" s="167">
        <f>'P&amp;L'!D32</f>
        <v>9.4711239999999997</v>
      </c>
      <c r="E8" s="167">
        <f>'P&amp;L'!E32</f>
        <v>9.4711239999999997</v>
      </c>
      <c r="F8" s="167">
        <f>'P&amp;L'!F32</f>
        <v>9.4711239999999997</v>
      </c>
      <c r="G8" s="167">
        <f>'P&amp;L'!G32</f>
        <v>9.4711239999999997</v>
      </c>
      <c r="H8" s="167">
        <f>'P&amp;L'!H32</f>
        <v>9.4711239999999997</v>
      </c>
      <c r="I8" s="167">
        <f>'P&amp;L'!I32</f>
        <v>9.4711239999999997</v>
      </c>
      <c r="J8" s="167">
        <f>'P&amp;L'!J32</f>
        <v>9.4711239999999997</v>
      </c>
      <c r="K8" s="167">
        <f>'P&amp;L'!K32</f>
        <v>9.4711239999999997</v>
      </c>
    </row>
    <row r="9" spans="1:11" x14ac:dyDescent="0.2">
      <c r="A9" s="123" t="s">
        <v>507</v>
      </c>
      <c r="B9" s="127">
        <f>'P&amp;L'!B27</f>
        <v>0.97820000000000018</v>
      </c>
      <c r="C9" s="167">
        <f>'P&amp;L'!C27</f>
        <v>0.97820000000000018</v>
      </c>
      <c r="D9" s="167">
        <f>'P&amp;L'!D27</f>
        <v>0.97820000000000018</v>
      </c>
      <c r="E9" s="167">
        <f>'P&amp;L'!E27</f>
        <v>0.97820000000000018</v>
      </c>
      <c r="F9" s="167">
        <f>'P&amp;L'!F27</f>
        <v>0.97820000000000018</v>
      </c>
      <c r="G9" s="167">
        <f>'P&amp;L'!G27</f>
        <v>0.97820000000000018</v>
      </c>
      <c r="H9" s="167">
        <f>'P&amp;L'!H27</f>
        <v>0.97820000000000018</v>
      </c>
      <c r="I9" s="167">
        <f>'P&amp;L'!I27</f>
        <v>0.97820000000000018</v>
      </c>
      <c r="J9" s="167">
        <f>'P&amp;L'!J27</f>
        <v>0.97820000000000018</v>
      </c>
      <c r="K9" s="167">
        <f>'P&amp;L'!K27</f>
        <v>0.97820000000000018</v>
      </c>
    </row>
    <row r="10" spans="1:11" x14ac:dyDescent="0.2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x14ac:dyDescent="0.2">
      <c r="A11" s="116" t="s">
        <v>499</v>
      </c>
      <c r="B11" s="167">
        <f>SUM(B6:B9)</f>
        <v>22.279678000000008</v>
      </c>
      <c r="C11" s="167">
        <f t="shared" ref="C11:K11" si="0">SUM(C6:C9)</f>
        <v>28.689278443124991</v>
      </c>
      <c r="D11" s="167">
        <f t="shared" si="0"/>
        <v>31.328538274031239</v>
      </c>
      <c r="E11" s="167">
        <f t="shared" si="0"/>
        <v>36.247236720857828</v>
      </c>
      <c r="F11" s="167">
        <f t="shared" si="0"/>
        <v>41.438795296275728</v>
      </c>
      <c r="G11" s="167">
        <f t="shared" si="0"/>
        <v>47.878948704214508</v>
      </c>
      <c r="H11" s="167">
        <f t="shared" si="0"/>
        <v>54.660945754406541</v>
      </c>
      <c r="I11" s="167">
        <f t="shared" si="0"/>
        <v>63.33992898656274</v>
      </c>
      <c r="J11" s="167">
        <f t="shared" si="0"/>
        <v>71.860345301319683</v>
      </c>
      <c r="K11" s="167">
        <f t="shared" si="0"/>
        <v>82.227094852395666</v>
      </c>
    </row>
    <row r="12" spans="1:1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x14ac:dyDescent="0.2">
      <c r="A13" s="115" t="s">
        <v>508</v>
      </c>
      <c r="B13" s="124">
        <f>1/1.1</f>
        <v>0.90909090909090906</v>
      </c>
      <c r="C13" s="124">
        <f t="shared" ref="C13:H13" si="1">B13/1.1</f>
        <v>0.82644628099173545</v>
      </c>
      <c r="D13" s="124">
        <f t="shared" si="1"/>
        <v>0.75131480090157765</v>
      </c>
      <c r="E13" s="124">
        <f t="shared" si="1"/>
        <v>0.68301345536507052</v>
      </c>
      <c r="F13" s="124">
        <f t="shared" si="1"/>
        <v>0.62092132305915493</v>
      </c>
      <c r="G13" s="124">
        <f t="shared" si="1"/>
        <v>0.56447393005377711</v>
      </c>
      <c r="H13" s="124">
        <f t="shared" si="1"/>
        <v>0.51315811823070645</v>
      </c>
      <c r="I13" s="124">
        <f t="shared" ref="I13" si="2">H13/1.1</f>
        <v>0.46650738020973309</v>
      </c>
      <c r="J13" s="124">
        <f t="shared" ref="J13" si="3">I13/1.1</f>
        <v>0.42409761837248461</v>
      </c>
      <c r="K13" s="124">
        <f t="shared" ref="K13" si="4">J13/1.1</f>
        <v>0.38554328942953142</v>
      </c>
    </row>
    <row r="14" spans="1:11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x14ac:dyDescent="0.2">
      <c r="A15" s="115" t="s">
        <v>509</v>
      </c>
      <c r="B15" s="124">
        <f>B11*B13</f>
        <v>20.254252727272732</v>
      </c>
      <c r="C15" s="124">
        <f t="shared" ref="C15:K15" si="5">C11*C13</f>
        <v>23.710147473657013</v>
      </c>
      <c r="D15" s="124">
        <f t="shared" si="5"/>
        <v>23.537594495891234</v>
      </c>
      <c r="E15" s="124">
        <f t="shared" si="5"/>
        <v>24.757350400148773</v>
      </c>
      <c r="F15" s="124">
        <f t="shared" si="5"/>
        <v>25.730231601341011</v>
      </c>
      <c r="G15" s="124">
        <f t="shared" si="5"/>
        <v>27.026418341911164</v>
      </c>
      <c r="H15" s="124">
        <f t="shared" si="5"/>
        <v>28.049708064041983</v>
      </c>
      <c r="I15" s="124">
        <f t="shared" si="5"/>
        <v>29.548544334191917</v>
      </c>
      <c r="J15" s="124">
        <f t="shared" si="5"/>
        <v>30.475801297714042</v>
      </c>
      <c r="K15" s="124">
        <f t="shared" si="5"/>
        <v>31.702104629626717</v>
      </c>
    </row>
    <row r="16" spans="1:11" x14ac:dyDescent="0.2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7" spans="1:11" x14ac:dyDescent="0.2">
      <c r="A17" s="115" t="s">
        <v>510</v>
      </c>
      <c r="B17" s="124">
        <f>SUM(B15:K15)</f>
        <v>264.79215336579659</v>
      </c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x14ac:dyDescent="0.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x14ac:dyDescent="0.2">
      <c r="A19" s="115" t="s">
        <v>511</v>
      </c>
      <c r="B19" s="195">
        <f>'Project Glance'!B15</f>
        <v>207.80393333333336</v>
      </c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ht="15" x14ac:dyDescent="0.25">
      <c r="A21" s="275" t="s">
        <v>513</v>
      </c>
      <c r="B21" s="282">
        <f>B17-B19</f>
        <v>56.988220032463232</v>
      </c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1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spans="1:11" x14ac:dyDescent="0.2">
      <c r="A23" s="115" t="s">
        <v>514</v>
      </c>
      <c r="B23" s="195">
        <f>'Project Glance'!B23-'Project Glance'!B20</f>
        <v>84.550733333333355</v>
      </c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ht="15" x14ac:dyDescent="0.25">
      <c r="A25" s="275" t="s">
        <v>512</v>
      </c>
      <c r="B25" s="282">
        <f>B17-B23</f>
        <v>180.24142003246322</v>
      </c>
      <c r="C25" s="116"/>
      <c r="D25" s="116"/>
      <c r="E25" s="116"/>
      <c r="F25" s="116"/>
      <c r="G25" s="116"/>
      <c r="H25" s="116"/>
      <c r="I25" s="116"/>
      <c r="J25" s="116"/>
      <c r="K25" s="116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60" zoomScaleNormal="80" workbookViewId="0">
      <selection activeCell="A3" sqref="A3:K19"/>
    </sheetView>
  </sheetViews>
  <sheetFormatPr defaultRowHeight="14.25" x14ac:dyDescent="0.2"/>
  <cols>
    <col min="1" max="1" width="32.7109375" style="133" bestFit="1" customWidth="1"/>
    <col min="2" max="2" width="11.140625" style="133" customWidth="1"/>
    <col min="3" max="3" width="11.28515625" style="133" customWidth="1"/>
    <col min="4" max="4" width="10.7109375" style="133" customWidth="1"/>
    <col min="5" max="5" width="11.42578125" style="133" customWidth="1"/>
    <col min="6" max="6" width="11.7109375" style="133" customWidth="1"/>
    <col min="7" max="7" width="10.28515625" style="133" customWidth="1"/>
    <col min="8" max="11" width="11.140625" style="133" customWidth="1"/>
    <col min="12" max="16384" width="9.140625" style="133"/>
  </cols>
  <sheetData>
    <row r="1" spans="1:13" x14ac:dyDescent="0.2">
      <c r="A1" s="401" t="s">
        <v>492</v>
      </c>
      <c r="B1" s="401"/>
      <c r="C1" s="401"/>
      <c r="D1" s="401"/>
      <c r="E1" s="401"/>
      <c r="F1" s="401"/>
      <c r="G1" s="401"/>
      <c r="H1" s="401"/>
      <c r="I1" s="279"/>
      <c r="J1" s="279"/>
      <c r="K1" s="279"/>
    </row>
    <row r="2" spans="1:13" x14ac:dyDescent="0.2">
      <c r="A2" s="158"/>
      <c r="B2" s="158"/>
      <c r="C2" s="158"/>
      <c r="D2" s="158"/>
      <c r="E2" s="158"/>
      <c r="F2" s="158"/>
      <c r="G2" s="158"/>
    </row>
    <row r="3" spans="1:13" x14ac:dyDescent="0.2">
      <c r="A3" s="159" t="s">
        <v>493</v>
      </c>
      <c r="B3" s="160" t="s">
        <v>36</v>
      </c>
      <c r="C3" s="160" t="s">
        <v>37</v>
      </c>
      <c r="D3" s="160" t="s">
        <v>38</v>
      </c>
      <c r="E3" s="160" t="s">
        <v>39</v>
      </c>
      <c r="F3" s="160" t="s">
        <v>40</v>
      </c>
      <c r="G3" s="160" t="s">
        <v>41</v>
      </c>
      <c r="H3" s="160" t="s">
        <v>42</v>
      </c>
      <c r="I3" s="160" t="s">
        <v>494</v>
      </c>
      <c r="J3" s="160" t="s">
        <v>495</v>
      </c>
      <c r="K3" s="160" t="s">
        <v>496</v>
      </c>
    </row>
    <row r="4" spans="1:13" x14ac:dyDescent="0.2">
      <c r="A4" s="161"/>
      <c r="B4" s="161"/>
      <c r="C4" s="161"/>
      <c r="D4" s="161"/>
      <c r="E4" s="161"/>
      <c r="F4" s="161"/>
      <c r="G4" s="161"/>
      <c r="H4" s="116"/>
      <c r="I4" s="116"/>
      <c r="J4" s="116"/>
      <c r="K4" s="116"/>
    </row>
    <row r="5" spans="1:13" x14ac:dyDescent="0.2">
      <c r="A5" s="161" t="s">
        <v>497</v>
      </c>
      <c r="B5" s="162">
        <f>'P&amp;L'!B36</f>
        <v>11.830354000000007</v>
      </c>
      <c r="C5" s="162">
        <f>'P&amp;L'!C36</f>
        <v>18.23995444312499</v>
      </c>
      <c r="D5" s="162">
        <f>'P&amp;L'!D36</f>
        <v>20.879214274031238</v>
      </c>
      <c r="E5" s="162">
        <f>'P&amp;L'!E36</f>
        <v>25.79791272085783</v>
      </c>
      <c r="F5" s="162">
        <f>'P&amp;L'!F36</f>
        <v>30.989471296275724</v>
      </c>
      <c r="G5" s="162">
        <f>'P&amp;L'!G36</f>
        <v>37.429624704214504</v>
      </c>
      <c r="H5" s="162">
        <f>'P&amp;L'!H36</f>
        <v>44.211621754406536</v>
      </c>
      <c r="I5" s="162">
        <f>'P&amp;L'!I36</f>
        <v>52.890604986562735</v>
      </c>
      <c r="J5" s="162">
        <f>'P&amp;L'!J36</f>
        <v>61.411021301319678</v>
      </c>
      <c r="K5" s="162">
        <f>'P&amp;L'!K36</f>
        <v>71.777770852395662</v>
      </c>
      <c r="L5" s="163"/>
    </row>
    <row r="6" spans="1:13" x14ac:dyDescent="0.2">
      <c r="A6" s="161"/>
      <c r="B6" s="162"/>
      <c r="C6" s="162"/>
      <c r="D6" s="162"/>
      <c r="E6" s="162"/>
      <c r="F6" s="162"/>
      <c r="G6" s="161"/>
      <c r="H6" s="116"/>
      <c r="I6" s="116"/>
      <c r="J6" s="116"/>
      <c r="K6" s="116"/>
    </row>
    <row r="7" spans="1:13" ht="15" x14ac:dyDescent="0.25">
      <c r="A7" s="164" t="s">
        <v>742</v>
      </c>
      <c r="B7" s="162">
        <f>'P&amp;L'!B32</f>
        <v>9.4711239999999997</v>
      </c>
      <c r="C7" s="162">
        <f>'P&amp;L'!C32</f>
        <v>9.4711239999999997</v>
      </c>
      <c r="D7" s="162">
        <f>'P&amp;L'!D32</f>
        <v>9.4711239999999997</v>
      </c>
      <c r="E7" s="162">
        <f>'P&amp;L'!E32</f>
        <v>9.4711239999999997</v>
      </c>
      <c r="F7" s="162">
        <f>'P&amp;L'!F32</f>
        <v>9.4711239999999997</v>
      </c>
      <c r="G7" s="162">
        <f>'P&amp;L'!G32</f>
        <v>9.4711239999999997</v>
      </c>
      <c r="H7" s="162">
        <f>'P&amp;L'!H32</f>
        <v>9.4711239999999997</v>
      </c>
      <c r="I7" s="162">
        <f>'P&amp;L'!I32</f>
        <v>9.4711239999999997</v>
      </c>
      <c r="J7" s="162">
        <f>'P&amp;L'!J32</f>
        <v>9.4711239999999997</v>
      </c>
      <c r="K7" s="162">
        <f>'P&amp;L'!K32</f>
        <v>9.4711239999999997</v>
      </c>
    </row>
    <row r="8" spans="1:13" x14ac:dyDescent="0.2">
      <c r="A8" s="161" t="s">
        <v>498</v>
      </c>
      <c r="B8" s="165">
        <f>'P&amp;L'!B27</f>
        <v>0.97820000000000018</v>
      </c>
      <c r="C8" s="165">
        <f>'P&amp;L'!C27</f>
        <v>0.97820000000000018</v>
      </c>
      <c r="D8" s="165">
        <f>'P&amp;L'!D27</f>
        <v>0.97820000000000018</v>
      </c>
      <c r="E8" s="165">
        <f>'P&amp;L'!E27</f>
        <v>0.97820000000000018</v>
      </c>
      <c r="F8" s="165">
        <f>'P&amp;L'!F27</f>
        <v>0.97820000000000018</v>
      </c>
      <c r="G8" s="165">
        <f>'P&amp;L'!G27</f>
        <v>0.97820000000000018</v>
      </c>
      <c r="H8" s="165">
        <f>'P&amp;L'!H27</f>
        <v>0.97820000000000018</v>
      </c>
      <c r="I8" s="165">
        <f>'P&amp;L'!I27</f>
        <v>0.97820000000000018</v>
      </c>
      <c r="J8" s="165">
        <f>'P&amp;L'!J27</f>
        <v>0.97820000000000018</v>
      </c>
      <c r="K8" s="165">
        <f>'P&amp;L'!K27</f>
        <v>0.97820000000000018</v>
      </c>
    </row>
    <row r="9" spans="1:13" x14ac:dyDescent="0.2">
      <c r="A9" s="161"/>
      <c r="B9" s="126"/>
      <c r="C9" s="161"/>
      <c r="D9" s="161"/>
      <c r="E9" s="161"/>
      <c r="F9" s="161"/>
      <c r="G9" s="161"/>
      <c r="H9" s="116"/>
      <c r="I9" s="116"/>
      <c r="J9" s="116"/>
      <c r="K9" s="116"/>
    </row>
    <row r="10" spans="1:13" x14ac:dyDescent="0.2">
      <c r="A10" s="161" t="s">
        <v>499</v>
      </c>
      <c r="B10" s="162">
        <f>SUM(B5:B8)</f>
        <v>22.279678000000008</v>
      </c>
      <c r="C10" s="162">
        <f t="shared" ref="C10:K10" si="0">SUM(C5:C8)</f>
        <v>28.689278443124991</v>
      </c>
      <c r="D10" s="162">
        <f t="shared" si="0"/>
        <v>31.328538274031239</v>
      </c>
      <c r="E10" s="162">
        <f t="shared" si="0"/>
        <v>36.247236720857828</v>
      </c>
      <c r="F10" s="162">
        <f t="shared" si="0"/>
        <v>41.438795296275728</v>
      </c>
      <c r="G10" s="162">
        <f t="shared" si="0"/>
        <v>47.878948704214508</v>
      </c>
      <c r="H10" s="162">
        <f t="shared" si="0"/>
        <v>54.660945754406541</v>
      </c>
      <c r="I10" s="162">
        <f t="shared" si="0"/>
        <v>63.33992898656274</v>
      </c>
      <c r="J10" s="162">
        <f t="shared" si="0"/>
        <v>71.860345301319683</v>
      </c>
      <c r="K10" s="162">
        <f t="shared" si="0"/>
        <v>82.227094852395666</v>
      </c>
    </row>
    <row r="11" spans="1:13" x14ac:dyDescent="0.2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3" x14ac:dyDescent="0.2">
      <c r="A12" s="166" t="s">
        <v>741</v>
      </c>
      <c r="B12" s="118">
        <f>1/M12</f>
        <v>0.87117120256472802</v>
      </c>
      <c r="C12" s="167">
        <f t="shared" ref="C12:H12" si="1">B12/$M$12</f>
        <v>0.75893926417807434</v>
      </c>
      <c r="D12" s="167">
        <f t="shared" si="1"/>
        <v>0.66116603144760278</v>
      </c>
      <c r="E12" s="167">
        <f t="shared" si="1"/>
        <v>0.57598880671115693</v>
      </c>
      <c r="F12" s="167">
        <f t="shared" si="1"/>
        <v>0.50178486140638123</v>
      </c>
      <c r="G12" s="167">
        <f t="shared" si="1"/>
        <v>0.43714052114017249</v>
      </c>
      <c r="H12" s="167">
        <f t="shared" si="1"/>
        <v>0.380824233491456</v>
      </c>
      <c r="I12" s="167">
        <f t="shared" ref="I12:K12" si="2">H12/$M$12</f>
        <v>0.33176310545654247</v>
      </c>
      <c r="J12" s="167">
        <f t="shared" si="2"/>
        <v>0.2890224635471848</v>
      </c>
      <c r="K12" s="167">
        <f t="shared" si="2"/>
        <v>0.25178804713662123</v>
      </c>
      <c r="M12" s="133">
        <v>1.14788</v>
      </c>
    </row>
    <row r="13" spans="1:13" x14ac:dyDescent="0.2">
      <c r="A13" s="161" t="s">
        <v>500</v>
      </c>
      <c r="B13" s="162">
        <f t="shared" ref="B13:H13" si="3">B10*B12</f>
        <v>19.40941387601492</v>
      </c>
      <c r="C13" s="162">
        <f t="shared" si="3"/>
        <v>21.773419871425169</v>
      </c>
      <c r="D13" s="162">
        <f t="shared" si="3"/>
        <v>20.713365321695566</v>
      </c>
      <c r="E13" s="162">
        <f>E10*E12</f>
        <v>20.878002625423729</v>
      </c>
      <c r="F13" s="162">
        <f t="shared" si="3"/>
        <v>20.79336015458912</v>
      </c>
      <c r="G13" s="162">
        <f t="shared" si="3"/>
        <v>20.929828588203918</v>
      </c>
      <c r="H13" s="162">
        <f t="shared" si="3"/>
        <v>20.816212768839925</v>
      </c>
      <c r="I13" s="162">
        <f t="shared" ref="I13:K13" si="4">I10*I12</f>
        <v>21.013851539978926</v>
      </c>
      <c r="J13" s="162">
        <f t="shared" si="4"/>
        <v>20.769254030338782</v>
      </c>
      <c r="K13" s="162">
        <f t="shared" si="4"/>
        <v>20.703799634602426</v>
      </c>
    </row>
    <row r="14" spans="1:13" x14ac:dyDescent="0.2">
      <c r="A14" s="161" t="s">
        <v>501</v>
      </c>
      <c r="B14" s="402">
        <f>SUM(B13:K13)</f>
        <v>207.80050841111247</v>
      </c>
      <c r="C14" s="403"/>
      <c r="D14" s="403"/>
      <c r="E14" s="403"/>
      <c r="F14" s="403"/>
      <c r="G14" s="403"/>
      <c r="H14" s="403"/>
      <c r="I14" s="403"/>
      <c r="J14" s="403"/>
      <c r="K14" s="404"/>
    </row>
    <row r="15" spans="1:13" x14ac:dyDescent="0.2">
      <c r="A15" s="161"/>
      <c r="B15" s="162"/>
      <c r="C15" s="162"/>
      <c r="D15" s="162"/>
      <c r="E15" s="162"/>
      <c r="F15" s="162"/>
      <c r="G15" s="161"/>
      <c r="H15" s="116"/>
      <c r="I15" s="116"/>
      <c r="J15" s="116"/>
      <c r="K15" s="116"/>
    </row>
    <row r="16" spans="1:13" x14ac:dyDescent="0.2">
      <c r="A16" s="161" t="s">
        <v>502</v>
      </c>
      <c r="B16" s="402">
        <f>'Project Glance'!B15</f>
        <v>207.80393333333336</v>
      </c>
      <c r="C16" s="403"/>
      <c r="D16" s="403"/>
      <c r="E16" s="403"/>
      <c r="F16" s="403"/>
      <c r="G16" s="403"/>
      <c r="H16" s="403"/>
      <c r="I16" s="403"/>
      <c r="J16" s="403"/>
      <c r="K16" s="404"/>
    </row>
    <row r="17" spans="1:13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3" x14ac:dyDescent="0.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3" ht="15" x14ac:dyDescent="0.25">
      <c r="A19" s="280" t="s">
        <v>503</v>
      </c>
      <c r="B19" s="281">
        <f>(M12*100)-100</f>
        <v>14.787999999999997</v>
      </c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3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3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3" x14ac:dyDescent="0.2">
      <c r="A22" s="166" t="s">
        <v>736</v>
      </c>
      <c r="B22" s="118">
        <f>1/M22</f>
        <v>0.7023458350891979</v>
      </c>
      <c r="C22" s="167">
        <f t="shared" ref="C22:H22" si="5">B22/$M$22</f>
        <v>0.4932896720671428</v>
      </c>
      <c r="D22" s="167">
        <f t="shared" si="5"/>
        <v>0.34645994666887403</v>
      </c>
      <c r="E22" s="167">
        <f t="shared" si="5"/>
        <v>0.24333470056810932</v>
      </c>
      <c r="F22" s="167">
        <f t="shared" si="5"/>
        <v>0.17090511347668869</v>
      </c>
      <c r="G22" s="167">
        <f t="shared" si="5"/>
        <v>0.12003449464579906</v>
      </c>
      <c r="H22" s="167">
        <f t="shared" si="5"/>
        <v>8.4305727381513595E-2</v>
      </c>
      <c r="I22" s="167">
        <f t="shared" ref="I22:K22" si="6">H22/$M$22</f>
        <v>5.9211776500571425E-2</v>
      </c>
      <c r="J22" s="167">
        <f t="shared" si="6"/>
        <v>4.1587144613408782E-2</v>
      </c>
      <c r="K22" s="167">
        <f t="shared" si="6"/>
        <v>2.920855781247983E-2</v>
      </c>
      <c r="M22" s="133">
        <v>1.4238</v>
      </c>
    </row>
    <row r="23" spans="1:13" x14ac:dyDescent="0.2">
      <c r="A23" s="161" t="s">
        <v>500</v>
      </c>
      <c r="B23" s="162">
        <f>ROUND(B10*B22,2)</f>
        <v>15.65</v>
      </c>
      <c r="C23" s="162">
        <f t="shared" ref="C23:H23" si="7">ROUND(C10*C22,2)</f>
        <v>14.15</v>
      </c>
      <c r="D23" s="162">
        <f t="shared" si="7"/>
        <v>10.85</v>
      </c>
      <c r="E23" s="162">
        <f t="shared" si="7"/>
        <v>8.82</v>
      </c>
      <c r="F23" s="162">
        <f t="shared" si="7"/>
        <v>7.08</v>
      </c>
      <c r="G23" s="162">
        <f t="shared" si="7"/>
        <v>5.75</v>
      </c>
      <c r="H23" s="162">
        <f t="shared" si="7"/>
        <v>4.6100000000000003</v>
      </c>
      <c r="I23" s="162">
        <f t="shared" ref="I23:K23" si="8">ROUND(I10*I22,2)</f>
        <v>3.75</v>
      </c>
      <c r="J23" s="162">
        <f t="shared" si="8"/>
        <v>2.99</v>
      </c>
      <c r="K23" s="162">
        <f t="shared" si="8"/>
        <v>2.4</v>
      </c>
    </row>
    <row r="24" spans="1:13" x14ac:dyDescent="0.2">
      <c r="A24" s="161" t="s">
        <v>501</v>
      </c>
      <c r="B24" s="402">
        <f>SUM(B23:K23)</f>
        <v>76.05</v>
      </c>
      <c r="C24" s="403"/>
      <c r="D24" s="403"/>
      <c r="E24" s="403"/>
      <c r="F24" s="403"/>
      <c r="G24" s="403"/>
      <c r="H24" s="403"/>
      <c r="I24" s="403"/>
      <c r="J24" s="403"/>
      <c r="K24" s="404"/>
    </row>
    <row r="25" spans="1:13" x14ac:dyDescent="0.2">
      <c r="A25" s="161"/>
      <c r="B25" s="162"/>
      <c r="C25" s="162"/>
      <c r="D25" s="162"/>
      <c r="E25" s="162"/>
      <c r="F25" s="162"/>
      <c r="G25" s="161"/>
      <c r="H25" s="116"/>
      <c r="I25" s="116"/>
      <c r="J25" s="116"/>
      <c r="K25" s="116"/>
    </row>
    <row r="26" spans="1:13" x14ac:dyDescent="0.2">
      <c r="A26" s="161" t="s">
        <v>518</v>
      </c>
      <c r="B26" s="402">
        <f>'Project Glance'!B23-'Project Glance'!B20</f>
        <v>84.550733333333355</v>
      </c>
      <c r="C26" s="403"/>
      <c r="D26" s="403"/>
      <c r="E26" s="403"/>
      <c r="F26" s="403"/>
      <c r="G26" s="403"/>
      <c r="H26" s="403"/>
      <c r="I26" s="403"/>
      <c r="J26" s="403"/>
      <c r="K26" s="404"/>
    </row>
    <row r="27" spans="1:13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8" spans="1:13" ht="15" x14ac:dyDescent="0.25">
      <c r="A28" s="280" t="s">
        <v>504</v>
      </c>
      <c r="B28" s="280">
        <f>ROUND(M22*100,2)-100</f>
        <v>42.379999999999995</v>
      </c>
      <c r="C28" s="116"/>
      <c r="D28" s="116"/>
      <c r="E28" s="116"/>
      <c r="F28" s="116"/>
      <c r="G28" s="116"/>
      <c r="H28" s="116"/>
      <c r="I28" s="116"/>
      <c r="J28" s="116"/>
      <c r="K28" s="11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  <cellWatches>
    <cellWatch r="B14"/>
    <cellWatch r="B16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L19" sqref="L19"/>
    </sheetView>
  </sheetViews>
  <sheetFormatPr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90" t="s">
        <v>524</v>
      </c>
      <c r="B2" s="90"/>
      <c r="C2" s="90"/>
      <c r="D2" s="90"/>
      <c r="E2" s="90"/>
      <c r="F2" s="90"/>
    </row>
    <row r="3" spans="1:7" x14ac:dyDescent="0.25">
      <c r="A3" s="91"/>
      <c r="B3" s="91"/>
      <c r="C3" s="91"/>
      <c r="D3" s="91"/>
      <c r="E3" s="91"/>
      <c r="F3" s="91"/>
    </row>
    <row r="4" spans="1:7" x14ac:dyDescent="0.25">
      <c r="A4" s="25" t="s">
        <v>1</v>
      </c>
      <c r="B4" s="25" t="s">
        <v>36</v>
      </c>
      <c r="C4" s="25" t="s">
        <v>37</v>
      </c>
      <c r="D4" s="25" t="s">
        <v>38</v>
      </c>
      <c r="E4" s="25" t="s">
        <v>39</v>
      </c>
      <c r="F4" s="25" t="s">
        <v>40</v>
      </c>
      <c r="G4" s="25" t="s">
        <v>41</v>
      </c>
    </row>
    <row r="5" spans="1:7" x14ac:dyDescent="0.25">
      <c r="A5" s="89"/>
      <c r="B5" s="92"/>
      <c r="C5" s="92"/>
      <c r="D5" s="92"/>
      <c r="E5" s="92"/>
      <c r="F5" s="92"/>
      <c r="G5" s="4"/>
    </row>
    <row r="6" spans="1:7" x14ac:dyDescent="0.25">
      <c r="A6" s="93" t="s">
        <v>525</v>
      </c>
      <c r="B6" s="86"/>
      <c r="C6" s="86"/>
      <c r="D6" s="86"/>
      <c r="E6" s="86"/>
      <c r="F6" s="86"/>
      <c r="G6" s="4"/>
    </row>
    <row r="7" spans="1:7" x14ac:dyDescent="0.25">
      <c r="A7" s="89" t="s">
        <v>322</v>
      </c>
      <c r="B7" s="87">
        <f>BS!C20</f>
        <v>0</v>
      </c>
      <c r="C7" s="87">
        <f>BS!D20</f>
        <v>0</v>
      </c>
      <c r="D7" s="87">
        <f>BS!E20</f>
        <v>0</v>
      </c>
      <c r="E7" s="87">
        <f>BS!F20</f>
        <v>0</v>
      </c>
      <c r="F7" s="87">
        <f>BS!G20</f>
        <v>0</v>
      </c>
      <c r="G7" s="87">
        <f>BS!H20</f>
        <v>0</v>
      </c>
    </row>
    <row r="8" spans="1:7" x14ac:dyDescent="0.25">
      <c r="A8" s="86"/>
      <c r="B8" s="87"/>
      <c r="C8" s="87"/>
      <c r="D8" s="87"/>
      <c r="E8" s="87"/>
      <c r="F8" s="87"/>
      <c r="G8" s="4"/>
    </row>
    <row r="9" spans="1:7" x14ac:dyDescent="0.25">
      <c r="A9" s="86" t="s">
        <v>526</v>
      </c>
      <c r="B9" s="87">
        <f>SUM(B7:B8)</f>
        <v>0</v>
      </c>
      <c r="C9" s="87">
        <f t="shared" ref="C9:F9" si="0">SUM(C7:C8)</f>
        <v>0</v>
      </c>
      <c r="D9" s="87">
        <f t="shared" si="0"/>
        <v>0</v>
      </c>
      <c r="E9" s="87">
        <f t="shared" si="0"/>
        <v>0</v>
      </c>
      <c r="F9" s="87">
        <f t="shared" si="0"/>
        <v>0</v>
      </c>
      <c r="G9" s="87">
        <f>SUM(G7:G8)</f>
        <v>0</v>
      </c>
    </row>
    <row r="10" spans="1:7" x14ac:dyDescent="0.25">
      <c r="A10" s="86"/>
      <c r="B10" s="86"/>
      <c r="C10" s="86"/>
      <c r="D10" s="86"/>
      <c r="E10" s="86"/>
      <c r="F10" s="86"/>
      <c r="G10" s="4"/>
    </row>
    <row r="11" spans="1:7" x14ac:dyDescent="0.25">
      <c r="A11" s="93" t="s">
        <v>527</v>
      </c>
      <c r="B11" s="86"/>
      <c r="C11" s="86"/>
      <c r="D11" s="86"/>
      <c r="E11" s="86"/>
      <c r="F11" s="86"/>
      <c r="G11" s="4"/>
    </row>
    <row r="12" spans="1:7" x14ac:dyDescent="0.25">
      <c r="A12" s="86" t="s">
        <v>528</v>
      </c>
      <c r="B12" s="86"/>
      <c r="C12" s="86"/>
      <c r="D12" s="86"/>
      <c r="E12" s="86"/>
      <c r="F12" s="86"/>
      <c r="G12" s="4"/>
    </row>
    <row r="13" spans="1:7" x14ac:dyDescent="0.25">
      <c r="A13" s="89" t="s">
        <v>529</v>
      </c>
      <c r="B13" s="87">
        <f>BS!C9</f>
        <v>84.550733333333355</v>
      </c>
      <c r="C13" s="87">
        <f>BS!D9</f>
        <v>84.550733333333355</v>
      </c>
      <c r="D13" s="87">
        <f>BS!E9</f>
        <v>84.550733333333355</v>
      </c>
      <c r="E13" s="87">
        <f>BS!F9</f>
        <v>84.550733333333355</v>
      </c>
      <c r="F13" s="87">
        <f>BS!G9</f>
        <v>84.550733333333355</v>
      </c>
      <c r="G13" s="87">
        <f>BS!H9</f>
        <v>84.550733333333355</v>
      </c>
    </row>
    <row r="14" spans="1:7" x14ac:dyDescent="0.25">
      <c r="A14" s="89" t="s">
        <v>530</v>
      </c>
      <c r="B14" s="87">
        <f>BS!C13+BS!C19</f>
        <v>135.08355400000002</v>
      </c>
      <c r="C14" s="87">
        <f>BS!D13+BS!D19</f>
        <v>153.32350844312501</v>
      </c>
      <c r="D14" s="87">
        <f>BS!E13+BS!E19</f>
        <v>174.20272271715623</v>
      </c>
      <c r="E14" s="87">
        <f>BS!F13+BS!F19</f>
        <v>200.00063543801406</v>
      </c>
      <c r="F14" s="87">
        <f>BS!G13+BS!G19</f>
        <v>230.99010673428978</v>
      </c>
      <c r="G14" s="87">
        <f>BS!H13+BS!H19</f>
        <v>268.4197314385043</v>
      </c>
    </row>
    <row r="15" spans="1:7" x14ac:dyDescent="0.25">
      <c r="A15" s="86"/>
      <c r="B15" s="87"/>
      <c r="C15" s="87"/>
      <c r="D15" s="87"/>
      <c r="E15" s="87"/>
      <c r="F15" s="87"/>
      <c r="G15" s="4"/>
    </row>
    <row r="16" spans="1:7" x14ac:dyDescent="0.25">
      <c r="A16" s="86" t="s">
        <v>526</v>
      </c>
      <c r="B16" s="87">
        <f>SUM(B13:B15)</f>
        <v>219.63428733333336</v>
      </c>
      <c r="C16" s="87">
        <f t="shared" ref="C16:G16" si="1">SUM(C13:C15)</f>
        <v>237.87424177645835</v>
      </c>
      <c r="D16" s="87">
        <f t="shared" si="1"/>
        <v>258.7534560504896</v>
      </c>
      <c r="E16" s="87">
        <f t="shared" si="1"/>
        <v>284.55136877134743</v>
      </c>
      <c r="F16" s="87">
        <f t="shared" si="1"/>
        <v>315.54084006762315</v>
      </c>
      <c r="G16" s="87">
        <f t="shared" si="1"/>
        <v>352.97046477183767</v>
      </c>
    </row>
    <row r="17" spans="1:7" x14ac:dyDescent="0.25">
      <c r="A17" s="86"/>
      <c r="B17" s="86"/>
      <c r="C17" s="86"/>
      <c r="D17" s="86"/>
      <c r="E17" s="86"/>
      <c r="F17" s="86"/>
      <c r="G17" s="4"/>
    </row>
    <row r="18" spans="1:7" x14ac:dyDescent="0.25">
      <c r="A18" s="94" t="s">
        <v>531</v>
      </c>
      <c r="B18" s="88">
        <f>B9/B16</f>
        <v>0</v>
      </c>
      <c r="C18" s="88">
        <f t="shared" ref="C18:G18" si="2">C9/C16</f>
        <v>0</v>
      </c>
      <c r="D18" s="88">
        <f t="shared" si="2"/>
        <v>0</v>
      </c>
      <c r="E18" s="88">
        <f t="shared" si="2"/>
        <v>0</v>
      </c>
      <c r="F18" s="88">
        <f t="shared" si="2"/>
        <v>0</v>
      </c>
      <c r="G18" s="88">
        <f t="shared" si="2"/>
        <v>0</v>
      </c>
    </row>
    <row r="19" spans="1:7" s="2" customFormat="1" x14ac:dyDescent="0.25">
      <c r="A19" s="95" t="s">
        <v>544</v>
      </c>
      <c r="B19" s="405">
        <f>SUM(B18:F18)/6</f>
        <v>0</v>
      </c>
      <c r="C19" s="406"/>
      <c r="D19" s="406"/>
      <c r="E19" s="406"/>
      <c r="F19" s="406"/>
      <c r="G19" s="407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94"/>
      <c r="B21" s="24"/>
      <c r="C21" s="4"/>
      <c r="D21" s="4"/>
      <c r="E21" s="4"/>
      <c r="F21" s="4"/>
      <c r="G21" s="4"/>
    </row>
    <row r="22" spans="1:7" x14ac:dyDescent="0.25">
      <c r="A22" s="93" t="s">
        <v>525</v>
      </c>
      <c r="B22" s="86"/>
      <c r="C22" s="86"/>
      <c r="D22" s="86"/>
      <c r="E22" s="86"/>
      <c r="F22" s="86"/>
      <c r="G22" s="4"/>
    </row>
    <row r="23" spans="1:7" x14ac:dyDescent="0.25">
      <c r="A23" s="89" t="s">
        <v>322</v>
      </c>
      <c r="B23" s="87">
        <f>B7</f>
        <v>0</v>
      </c>
      <c r="C23" s="87">
        <f t="shared" ref="C23:G23" si="3">C7</f>
        <v>0</v>
      </c>
      <c r="D23" s="87">
        <f t="shared" si="3"/>
        <v>0</v>
      </c>
      <c r="E23" s="87">
        <f t="shared" si="3"/>
        <v>0</v>
      </c>
      <c r="F23" s="87">
        <f t="shared" si="3"/>
        <v>0</v>
      </c>
      <c r="G23" s="87">
        <f t="shared" si="3"/>
        <v>0</v>
      </c>
    </row>
    <row r="24" spans="1:7" x14ac:dyDescent="0.25">
      <c r="A24" s="86"/>
      <c r="B24" s="87"/>
      <c r="C24" s="87"/>
      <c r="D24" s="87"/>
      <c r="E24" s="87"/>
      <c r="F24" s="87"/>
      <c r="G24" s="4"/>
    </row>
    <row r="25" spans="1:7" x14ac:dyDescent="0.25">
      <c r="A25" s="86" t="s">
        <v>526</v>
      </c>
      <c r="B25" s="87">
        <f>SUM(B23:B24)</f>
        <v>0</v>
      </c>
      <c r="C25" s="87">
        <f t="shared" ref="C25:G25" si="4">SUM(C23:C24)</f>
        <v>0</v>
      </c>
      <c r="D25" s="87">
        <f t="shared" si="4"/>
        <v>0</v>
      </c>
      <c r="E25" s="87">
        <f t="shared" si="4"/>
        <v>0</v>
      </c>
      <c r="F25" s="87">
        <f t="shared" si="4"/>
        <v>0</v>
      </c>
      <c r="G25" s="87">
        <f t="shared" si="4"/>
        <v>0</v>
      </c>
    </row>
    <row r="26" spans="1:7" x14ac:dyDescent="0.25">
      <c r="A26" s="86"/>
      <c r="B26" s="86"/>
      <c r="C26" s="86"/>
      <c r="D26" s="86"/>
      <c r="E26" s="86"/>
      <c r="F26" s="86"/>
      <c r="G26" s="4"/>
    </row>
    <row r="27" spans="1:7" x14ac:dyDescent="0.25">
      <c r="A27" s="93" t="s">
        <v>527</v>
      </c>
      <c r="B27" s="86"/>
      <c r="C27" s="86"/>
      <c r="D27" s="86"/>
      <c r="E27" s="86"/>
      <c r="F27" s="86"/>
      <c r="G27" s="4"/>
    </row>
    <row r="28" spans="1:7" x14ac:dyDescent="0.25">
      <c r="A28" s="86" t="s">
        <v>528</v>
      </c>
      <c r="B28" s="86"/>
      <c r="C28" s="86"/>
      <c r="D28" s="86"/>
      <c r="E28" s="86"/>
      <c r="F28" s="86"/>
      <c r="G28" s="4"/>
    </row>
    <row r="29" spans="1:7" x14ac:dyDescent="0.25">
      <c r="A29" s="89" t="s">
        <v>529</v>
      </c>
      <c r="B29" s="87">
        <f>B13</f>
        <v>84.550733333333355</v>
      </c>
      <c r="C29" s="87">
        <f t="shared" ref="C29:G29" si="5">C13</f>
        <v>84.550733333333355</v>
      </c>
      <c r="D29" s="87">
        <f t="shared" si="5"/>
        <v>84.550733333333355</v>
      </c>
      <c r="E29" s="87">
        <f t="shared" si="5"/>
        <v>84.550733333333355</v>
      </c>
      <c r="F29" s="87">
        <f t="shared" si="5"/>
        <v>84.550733333333355</v>
      </c>
      <c r="G29" s="87">
        <f t="shared" si="5"/>
        <v>84.550733333333355</v>
      </c>
    </row>
    <row r="30" spans="1:7" x14ac:dyDescent="0.25">
      <c r="A30" s="89" t="s">
        <v>532</v>
      </c>
      <c r="B30" s="87">
        <f>BS!C19</f>
        <v>11.830354000000007</v>
      </c>
      <c r="C30" s="87">
        <f>BS!D19</f>
        <v>30.070308443124997</v>
      </c>
      <c r="D30" s="87">
        <f>BS!E19</f>
        <v>50.949522717156235</v>
      </c>
      <c r="E30" s="87">
        <f>BS!F19</f>
        <v>76.747435438014065</v>
      </c>
      <c r="F30" s="87">
        <f>BS!G19</f>
        <v>107.73690673428979</v>
      </c>
      <c r="G30" s="87">
        <f>BS!H19</f>
        <v>145.16653143850431</v>
      </c>
    </row>
    <row r="31" spans="1:7" x14ac:dyDescent="0.25">
      <c r="A31" s="86"/>
      <c r="B31" s="87"/>
      <c r="C31" s="87"/>
      <c r="D31" s="87"/>
      <c r="E31" s="87"/>
      <c r="F31" s="87"/>
      <c r="G31" s="4"/>
    </row>
    <row r="32" spans="1:7" x14ac:dyDescent="0.25">
      <c r="A32" s="86" t="s">
        <v>526</v>
      </c>
      <c r="B32" s="87">
        <f>SUM(B29:B31)</f>
        <v>96.381087333333369</v>
      </c>
      <c r="C32" s="87">
        <f t="shared" ref="C32:G32" si="6">SUM(C29:C31)</f>
        <v>114.62104177645836</v>
      </c>
      <c r="D32" s="87">
        <f t="shared" si="6"/>
        <v>135.50025605048958</v>
      </c>
      <c r="E32" s="87">
        <f t="shared" si="6"/>
        <v>161.29816877134743</v>
      </c>
      <c r="F32" s="87">
        <f t="shared" si="6"/>
        <v>192.28764006762316</v>
      </c>
      <c r="G32" s="87">
        <f t="shared" si="6"/>
        <v>229.71726477183768</v>
      </c>
    </row>
    <row r="33" spans="1:7" x14ac:dyDescent="0.25">
      <c r="A33" s="86"/>
      <c r="B33" s="86"/>
      <c r="C33" s="86"/>
      <c r="D33" s="86"/>
      <c r="E33" s="86"/>
      <c r="F33" s="86"/>
      <c r="G33" s="4"/>
    </row>
    <row r="34" spans="1:7" x14ac:dyDescent="0.25">
      <c r="A34" s="94" t="s">
        <v>533</v>
      </c>
      <c r="B34" s="88">
        <f>B25/B32</f>
        <v>0</v>
      </c>
      <c r="C34" s="88">
        <f t="shared" ref="C34:G34" si="7">C25/C32</f>
        <v>0</v>
      </c>
      <c r="D34" s="88">
        <f t="shared" si="7"/>
        <v>0</v>
      </c>
      <c r="E34" s="88">
        <f t="shared" si="7"/>
        <v>0</v>
      </c>
      <c r="F34" s="88">
        <f t="shared" si="7"/>
        <v>0</v>
      </c>
      <c r="G34" s="88">
        <f t="shared" si="7"/>
        <v>0</v>
      </c>
    </row>
    <row r="35" spans="1:7" x14ac:dyDescent="0.25">
      <c r="A35" s="95" t="s">
        <v>545</v>
      </c>
      <c r="B35" s="405">
        <f>SUM(B34:G34)/6</f>
        <v>0</v>
      </c>
      <c r="C35" s="406"/>
      <c r="D35" s="406"/>
      <c r="E35" s="406"/>
      <c r="F35" s="406"/>
      <c r="G35" s="407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2" t="s">
        <v>0</v>
      </c>
      <c r="B2" s="12" t="s">
        <v>1</v>
      </c>
      <c r="C2" s="12" t="s">
        <v>2</v>
      </c>
      <c r="D2" s="12"/>
      <c r="E2" s="12" t="s">
        <v>3</v>
      </c>
      <c r="F2" s="45"/>
    </row>
    <row r="3" spans="1:7" x14ac:dyDescent="0.25">
      <c r="A3" s="5">
        <v>1</v>
      </c>
      <c r="B3" s="6" t="s">
        <v>4</v>
      </c>
      <c r="C3" s="4"/>
      <c r="D3" s="4"/>
      <c r="E3" s="7">
        <v>0</v>
      </c>
      <c r="F3" s="43"/>
    </row>
    <row r="4" spans="1:7" ht="45" x14ac:dyDescent="0.25">
      <c r="A4" s="5">
        <v>2</v>
      </c>
      <c r="B4" s="6" t="s">
        <v>5</v>
      </c>
      <c r="C4" s="8" t="s">
        <v>6</v>
      </c>
      <c r="D4" s="4"/>
      <c r="E4" s="7">
        <v>60</v>
      </c>
      <c r="F4" s="43"/>
      <c r="G4" s="1" t="s">
        <v>366</v>
      </c>
    </row>
    <row r="5" spans="1:7" x14ac:dyDescent="0.25">
      <c r="A5" s="5">
        <v>3</v>
      </c>
      <c r="B5" s="6" t="s">
        <v>7</v>
      </c>
      <c r="C5" s="4" t="s">
        <v>8</v>
      </c>
      <c r="D5" s="4"/>
      <c r="E5" s="7">
        <v>10</v>
      </c>
      <c r="F5" s="43"/>
      <c r="G5" s="1" t="s">
        <v>367</v>
      </c>
    </row>
    <row r="6" spans="1:7" x14ac:dyDescent="0.25">
      <c r="A6" s="5">
        <v>4</v>
      </c>
      <c r="B6" s="6" t="s">
        <v>9</v>
      </c>
      <c r="C6" s="4"/>
      <c r="D6" s="4"/>
      <c r="E6" s="7">
        <f>SUM(D7:D11)</f>
        <v>83</v>
      </c>
      <c r="F6" s="43"/>
      <c r="G6" s="1" t="s">
        <v>366</v>
      </c>
    </row>
    <row r="7" spans="1:7" x14ac:dyDescent="0.25">
      <c r="A7" s="4"/>
      <c r="B7" s="4" t="s">
        <v>10</v>
      </c>
      <c r="C7" s="4" t="s">
        <v>11</v>
      </c>
      <c r="D7" s="7">
        <v>10</v>
      </c>
      <c r="E7" s="7"/>
      <c r="F7" s="43"/>
      <c r="G7" s="1" t="s">
        <v>366</v>
      </c>
    </row>
    <row r="8" spans="1:7" x14ac:dyDescent="0.25">
      <c r="A8" s="4"/>
      <c r="B8" s="4" t="s">
        <v>12</v>
      </c>
      <c r="C8" s="4" t="s">
        <v>73</v>
      </c>
      <c r="D8" s="7">
        <f>25*2</f>
        <v>50</v>
      </c>
      <c r="E8" s="7"/>
      <c r="F8" s="43"/>
      <c r="G8" s="1" t="s">
        <v>33</v>
      </c>
    </row>
    <row r="9" spans="1:7" ht="75" x14ac:dyDescent="0.25">
      <c r="A9" s="4"/>
      <c r="B9" s="4" t="s">
        <v>13</v>
      </c>
      <c r="C9" s="8" t="s">
        <v>14</v>
      </c>
      <c r="D9" s="7">
        <v>10</v>
      </c>
      <c r="E9" s="7"/>
      <c r="F9" s="43"/>
      <c r="G9" s="3" t="s">
        <v>394</v>
      </c>
    </row>
    <row r="10" spans="1:7" ht="75" x14ac:dyDescent="0.25">
      <c r="A10" s="4"/>
      <c r="B10" s="4" t="s">
        <v>15</v>
      </c>
      <c r="C10" s="8" t="s">
        <v>16</v>
      </c>
      <c r="D10" s="7">
        <v>12</v>
      </c>
      <c r="E10" s="7"/>
      <c r="F10" s="43"/>
      <c r="G10" s="1" t="s">
        <v>366</v>
      </c>
    </row>
    <row r="11" spans="1:7" ht="30" x14ac:dyDescent="0.25">
      <c r="A11" s="4"/>
      <c r="B11" s="8" t="s">
        <v>17</v>
      </c>
      <c r="C11" s="4" t="s">
        <v>18</v>
      </c>
      <c r="D11" s="7">
        <v>1</v>
      </c>
      <c r="E11" s="7"/>
      <c r="F11" s="43"/>
      <c r="G11" s="1" t="s">
        <v>366</v>
      </c>
    </row>
    <row r="12" spans="1:7" x14ac:dyDescent="0.25">
      <c r="A12" s="4"/>
      <c r="B12" s="4"/>
      <c r="C12" s="4"/>
      <c r="D12" s="4"/>
      <c r="E12" s="7"/>
      <c r="F12" s="43"/>
    </row>
    <row r="13" spans="1:7" x14ac:dyDescent="0.25">
      <c r="A13" s="5">
        <v>5</v>
      </c>
      <c r="B13" s="6" t="s">
        <v>19</v>
      </c>
      <c r="C13" s="4" t="s">
        <v>20</v>
      </c>
      <c r="D13" s="4"/>
      <c r="E13" s="7">
        <f>ROUND(($E$6+$E$4+$E$5)*3%,0)</f>
        <v>5</v>
      </c>
      <c r="F13" s="43"/>
    </row>
    <row r="14" spans="1:7" x14ac:dyDescent="0.25">
      <c r="A14" s="5">
        <v>6</v>
      </c>
      <c r="B14" s="6" t="s">
        <v>21</v>
      </c>
      <c r="C14" s="4" t="s">
        <v>22</v>
      </c>
      <c r="D14" s="4"/>
      <c r="E14" s="7">
        <f>ROUND(($E$6+$E$4+$E$5)*2%,0)</f>
        <v>3</v>
      </c>
      <c r="F14" s="43"/>
    </row>
    <row r="15" spans="1:7" x14ac:dyDescent="0.25">
      <c r="A15" s="5">
        <v>7</v>
      </c>
      <c r="B15" s="6" t="s">
        <v>23</v>
      </c>
      <c r="C15" s="4" t="s">
        <v>365</v>
      </c>
      <c r="D15" s="4"/>
      <c r="E15" s="7">
        <f>'WC Assessment'!C13</f>
        <v>2.3819333333333339</v>
      </c>
      <c r="F15" s="43"/>
    </row>
    <row r="16" spans="1:7" x14ac:dyDescent="0.25">
      <c r="A16" s="4"/>
      <c r="B16" s="4"/>
      <c r="C16" s="4"/>
      <c r="D16" s="4"/>
      <c r="E16" s="4"/>
      <c r="F16" s="15"/>
    </row>
    <row r="17" spans="1:6" x14ac:dyDescent="0.25">
      <c r="A17" s="4"/>
      <c r="B17" s="364" t="s">
        <v>24</v>
      </c>
      <c r="C17" s="364"/>
      <c r="D17" s="4"/>
      <c r="E17" s="9">
        <f>SUM(E4:E15)</f>
        <v>163.38193333333334</v>
      </c>
      <c r="F17" s="44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86" t="s">
        <v>543</v>
      </c>
      <c r="B1" s="386"/>
      <c r="C1" s="386"/>
      <c r="D1" s="386"/>
      <c r="E1" s="386"/>
      <c r="F1" s="386"/>
      <c r="G1" s="386"/>
      <c r="H1" s="386"/>
    </row>
    <row r="3" spans="1:9" x14ac:dyDescent="0.25">
      <c r="A3" s="4" t="s">
        <v>1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</row>
    <row r="4" spans="1:9" x14ac:dyDescent="0.25">
      <c r="A4" s="4" t="s">
        <v>534</v>
      </c>
      <c r="B4" s="14">
        <f>'P&amp;L'!B36</f>
        <v>11.830354000000007</v>
      </c>
      <c r="C4" s="14">
        <f>'P&amp;L'!C36</f>
        <v>18.23995444312499</v>
      </c>
      <c r="D4" s="14">
        <f>'P&amp;L'!D36</f>
        <v>20.879214274031238</v>
      </c>
      <c r="E4" s="14">
        <f>'P&amp;L'!E36</f>
        <v>25.79791272085783</v>
      </c>
      <c r="F4" s="14">
        <f>'P&amp;L'!F36</f>
        <v>30.989471296275724</v>
      </c>
      <c r="G4" s="14">
        <f>'P&amp;L'!G36</f>
        <v>37.429624704214504</v>
      </c>
      <c r="H4" s="14">
        <f>'P&amp;L'!H36</f>
        <v>44.211621754406536</v>
      </c>
      <c r="I4" s="10"/>
    </row>
    <row r="5" spans="1:9" ht="30" x14ac:dyDescent="0.25">
      <c r="A5" s="8" t="s">
        <v>535</v>
      </c>
      <c r="B5" s="14">
        <f>'P&amp;L'!B32</f>
        <v>9.4711239999999997</v>
      </c>
      <c r="C5" s="14">
        <f>'P&amp;L'!C32</f>
        <v>9.4711239999999997</v>
      </c>
      <c r="D5" s="14">
        <f>'P&amp;L'!D32</f>
        <v>9.4711239999999997</v>
      </c>
      <c r="E5" s="14">
        <f>'P&amp;L'!E32</f>
        <v>9.4711239999999997</v>
      </c>
      <c r="F5" s="14">
        <f>'P&amp;L'!F32</f>
        <v>9.4711239999999997</v>
      </c>
      <c r="G5" s="14">
        <f>'P&amp;L'!G32</f>
        <v>9.4711239999999997</v>
      </c>
      <c r="H5" s="14">
        <f>'P&amp;L'!H32</f>
        <v>9.4711239999999997</v>
      </c>
    </row>
    <row r="6" spans="1:9" ht="30" x14ac:dyDescent="0.25">
      <c r="A6" s="8" t="s">
        <v>536</v>
      </c>
      <c r="B6" s="14">
        <f>'P&amp;L'!B27</f>
        <v>0.97820000000000018</v>
      </c>
      <c r="C6" s="14">
        <f>'P&amp;L'!C27</f>
        <v>0.97820000000000018</v>
      </c>
      <c r="D6" s="14">
        <f>'P&amp;L'!D27</f>
        <v>0.97820000000000018</v>
      </c>
      <c r="E6" s="14">
        <f>'P&amp;L'!E27</f>
        <v>0.97820000000000018</v>
      </c>
      <c r="F6" s="14">
        <f>'P&amp;L'!F27</f>
        <v>0.97820000000000018</v>
      </c>
      <c r="G6" s="14">
        <f>'P&amp;L'!G27</f>
        <v>0.97820000000000018</v>
      </c>
      <c r="H6" s="14">
        <f>'P&amp;L'!H27</f>
        <v>0.97820000000000018</v>
      </c>
    </row>
    <row r="7" spans="1:9" ht="30" x14ac:dyDescent="0.25">
      <c r="A7" s="8" t="s">
        <v>537</v>
      </c>
      <c r="B7" s="14">
        <f>'P&amp;L'!B30</f>
        <v>0</v>
      </c>
      <c r="C7" s="14">
        <f>'P&amp;L'!C30</f>
        <v>0</v>
      </c>
      <c r="D7" s="14">
        <f>'P&amp;L'!D30</f>
        <v>0</v>
      </c>
      <c r="E7" s="14">
        <f>'P&amp;L'!E30</f>
        <v>0</v>
      </c>
      <c r="F7" s="14">
        <f>'P&amp;L'!F30</f>
        <v>0</v>
      </c>
      <c r="G7" s="14">
        <f>'P&amp;L'!G30</f>
        <v>0</v>
      </c>
      <c r="H7" s="14">
        <f>'P&amp;L'!H30</f>
        <v>0</v>
      </c>
    </row>
    <row r="8" spans="1:9" x14ac:dyDescent="0.25">
      <c r="A8" s="4"/>
      <c r="B8" s="4"/>
      <c r="C8" s="4"/>
      <c r="D8" s="4"/>
      <c r="E8" s="4"/>
      <c r="F8" s="4"/>
      <c r="G8" s="4"/>
      <c r="H8" s="4"/>
    </row>
    <row r="9" spans="1:9" hidden="1" x14ac:dyDescent="0.25">
      <c r="A9" s="8" t="s">
        <v>538</v>
      </c>
      <c r="B9" s="14">
        <f>B7</f>
        <v>0</v>
      </c>
      <c r="C9" s="14">
        <f t="shared" ref="C9:H9" si="0">C7</f>
        <v>0</v>
      </c>
      <c r="D9" s="14">
        <f t="shared" si="0"/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</row>
    <row r="10" spans="1:9" x14ac:dyDescent="0.25">
      <c r="A10" s="8" t="s">
        <v>539</v>
      </c>
      <c r="B10" s="14">
        <f>'TL Schedule'!C5+'TL Schedule'!C6</f>
        <v>0</v>
      </c>
      <c r="C10" s="14">
        <f>'TL Schedule'!D5+'TL Schedule'!D6</f>
        <v>0</v>
      </c>
      <c r="D10" s="14">
        <f>'TL Schedule'!E5+'TL Schedule'!E6</f>
        <v>0</v>
      </c>
      <c r="E10" s="14">
        <f>'TL Schedule'!F5+'TL Schedule'!F6</f>
        <v>0</v>
      </c>
      <c r="F10" s="14">
        <f>'TL Schedule'!G5+'TL Schedule'!G6</f>
        <v>0</v>
      </c>
      <c r="G10" s="14">
        <f>'TL Schedule'!H5+'TL Schedule'!H6</f>
        <v>0</v>
      </c>
      <c r="H10" s="14">
        <f>'TL Schedule'!I5+'TL Schedule'!I6</f>
        <v>0</v>
      </c>
    </row>
    <row r="11" spans="1:9" x14ac:dyDescent="0.25">
      <c r="A11" s="4"/>
      <c r="B11" s="4"/>
      <c r="C11" s="4"/>
      <c r="D11" s="4"/>
      <c r="E11" s="4"/>
      <c r="F11" s="4"/>
      <c r="G11" s="4"/>
      <c r="H11" s="4"/>
    </row>
    <row r="12" spans="1:9" x14ac:dyDescent="0.25">
      <c r="A12" s="38" t="s">
        <v>358</v>
      </c>
      <c r="B12" s="14" t="e">
        <f>SUM(B4:B7)/B10</f>
        <v>#DIV/0!</v>
      </c>
      <c r="C12" s="14" t="e">
        <f t="shared" ref="C12:G12" si="1">SUM(C4:C7)/C10</f>
        <v>#DIV/0!</v>
      </c>
      <c r="D12" s="14" t="e">
        <f t="shared" si="1"/>
        <v>#DIV/0!</v>
      </c>
      <c r="E12" s="14" t="e">
        <f t="shared" si="1"/>
        <v>#DIV/0!</v>
      </c>
      <c r="F12" s="14" t="e">
        <f t="shared" si="1"/>
        <v>#DIV/0!</v>
      </c>
      <c r="G12" s="14" t="e">
        <f t="shared" si="1"/>
        <v>#DIV/0!</v>
      </c>
      <c r="H12" s="14">
        <v>0</v>
      </c>
    </row>
    <row r="13" spans="1:9" x14ac:dyDescent="0.25">
      <c r="A13" s="4"/>
      <c r="B13" s="4"/>
      <c r="C13" s="4"/>
      <c r="D13" s="4"/>
      <c r="E13" s="4"/>
      <c r="F13" s="4"/>
      <c r="G13" s="4"/>
      <c r="H13" s="4"/>
    </row>
    <row r="14" spans="1:9" hidden="1" x14ac:dyDescent="0.25">
      <c r="A14" s="6" t="s">
        <v>540</v>
      </c>
      <c r="B14" s="14" t="e">
        <f>(SUM(B4:B7)/B9)</f>
        <v>#DIV/0!</v>
      </c>
      <c r="C14" s="14" t="e">
        <f t="shared" ref="C14:G14" si="2">(SUM(C4:C7)/C9)</f>
        <v>#DIV/0!</v>
      </c>
      <c r="D14" s="14" t="e">
        <f t="shared" si="2"/>
        <v>#DIV/0!</v>
      </c>
      <c r="E14" s="14" t="e">
        <f t="shared" si="2"/>
        <v>#DIV/0!</v>
      </c>
      <c r="F14" s="14" t="e">
        <f t="shared" si="2"/>
        <v>#DIV/0!</v>
      </c>
      <c r="G14" s="14" t="e">
        <f t="shared" si="2"/>
        <v>#DIV/0!</v>
      </c>
      <c r="H14" s="14">
        <v>0</v>
      </c>
    </row>
    <row r="15" spans="1:9" hidden="1" x14ac:dyDescent="0.25">
      <c r="A15" s="4"/>
      <c r="B15" s="4"/>
      <c r="C15" s="4"/>
      <c r="D15" s="4"/>
      <c r="E15" s="4"/>
      <c r="F15" s="4"/>
      <c r="G15" s="4"/>
      <c r="H15" s="4"/>
    </row>
    <row r="16" spans="1:9" x14ac:dyDescent="0.25">
      <c r="A16" s="6" t="s">
        <v>541</v>
      </c>
      <c r="B16" s="408" t="e">
        <f>SUM(B12:G12)/6</f>
        <v>#DIV/0!</v>
      </c>
      <c r="C16" s="408"/>
      <c r="D16" s="408"/>
      <c r="E16" s="408"/>
      <c r="F16" s="408"/>
      <c r="G16" s="408"/>
      <c r="H16" s="408"/>
    </row>
    <row r="17" spans="1:8" hidden="1" x14ac:dyDescent="0.25">
      <c r="A17" s="6" t="s">
        <v>542</v>
      </c>
      <c r="B17" s="408" t="e">
        <f>SUM(B14:G14)/6</f>
        <v>#DIV/0!</v>
      </c>
      <c r="C17" s="408"/>
      <c r="D17" s="408"/>
      <c r="E17" s="408"/>
      <c r="F17" s="408"/>
      <c r="G17" s="408"/>
      <c r="H17" s="408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27" zoomScale="60" zoomScaleNormal="80" workbookViewId="0">
      <selection activeCell="A27" sqref="A27"/>
    </sheetView>
  </sheetViews>
  <sheetFormatPr defaultRowHeight="14.25" x14ac:dyDescent="0.2"/>
  <cols>
    <col min="1" max="1" width="18.42578125" style="155" customWidth="1"/>
    <col min="2" max="11" width="10.140625" style="155" customWidth="1"/>
    <col min="12" max="14" width="9.140625" style="155"/>
    <col min="15" max="15" width="23.42578125" style="155" bestFit="1" customWidth="1"/>
    <col min="16" max="16384" width="9.140625" style="155"/>
  </cols>
  <sheetData>
    <row r="1" spans="1:15" ht="15" hidden="1" x14ac:dyDescent="0.25">
      <c r="A1" s="262" t="s">
        <v>347</v>
      </c>
      <c r="B1" s="153"/>
      <c r="C1" s="153"/>
      <c r="D1" s="153"/>
      <c r="E1" s="153"/>
      <c r="F1" s="153"/>
      <c r="G1" s="153"/>
      <c r="H1" s="153"/>
    </row>
    <row r="2" spans="1:15" hidden="1" x14ac:dyDescent="0.2">
      <c r="A2" s="153" t="s">
        <v>1</v>
      </c>
      <c r="B2" s="154" t="s">
        <v>36</v>
      </c>
      <c r="C2" s="154" t="s">
        <v>37</v>
      </c>
      <c r="D2" s="154" t="s">
        <v>38</v>
      </c>
      <c r="E2" s="154" t="s">
        <v>39</v>
      </c>
      <c r="F2" s="154" t="s">
        <v>40</v>
      </c>
      <c r="G2" s="154" t="s">
        <v>41</v>
      </c>
      <c r="H2" s="154" t="s">
        <v>42</v>
      </c>
    </row>
    <row r="3" spans="1:15" hidden="1" x14ac:dyDescent="0.2">
      <c r="A3" s="115" t="s">
        <v>348</v>
      </c>
      <c r="B3" s="118">
        <f>'P&amp;L'!B36</f>
        <v>11.830354000000007</v>
      </c>
      <c r="C3" s="118">
        <f>'P&amp;L'!C36</f>
        <v>18.23995444312499</v>
      </c>
      <c r="D3" s="118">
        <f>'P&amp;L'!D36</f>
        <v>20.879214274031238</v>
      </c>
      <c r="E3" s="118">
        <f>'P&amp;L'!E36</f>
        <v>25.79791272085783</v>
      </c>
      <c r="F3" s="118">
        <f>'P&amp;L'!F36</f>
        <v>30.989471296275724</v>
      </c>
      <c r="G3" s="118">
        <f>'P&amp;L'!G36</f>
        <v>37.429624704214504</v>
      </c>
      <c r="H3" s="118">
        <f>'P&amp;L'!H36</f>
        <v>44.211621754406536</v>
      </c>
      <c r="I3" s="133"/>
      <c r="J3" s="133"/>
      <c r="K3" s="133"/>
    </row>
    <row r="4" spans="1:15" hidden="1" x14ac:dyDescent="0.2">
      <c r="A4" s="115"/>
      <c r="B4" s="115"/>
      <c r="C4" s="115"/>
      <c r="D4" s="115"/>
      <c r="E4" s="115"/>
      <c r="F4" s="115"/>
      <c r="G4" s="115"/>
      <c r="H4" s="115"/>
      <c r="I4" s="133"/>
      <c r="J4" s="133"/>
      <c r="K4" s="133"/>
    </row>
    <row r="5" spans="1:15" hidden="1" x14ac:dyDescent="0.2">
      <c r="A5" s="115" t="s">
        <v>349</v>
      </c>
      <c r="B5" s="118">
        <f>'P&amp;L'!B32</f>
        <v>9.4711239999999997</v>
      </c>
      <c r="C5" s="118">
        <f>'P&amp;L'!C32</f>
        <v>9.4711239999999997</v>
      </c>
      <c r="D5" s="118">
        <f>'P&amp;L'!D32</f>
        <v>9.4711239999999997</v>
      </c>
      <c r="E5" s="118">
        <f>'P&amp;L'!E32</f>
        <v>9.4711239999999997</v>
      </c>
      <c r="F5" s="118">
        <f>'P&amp;L'!F32</f>
        <v>9.4711239999999997</v>
      </c>
      <c r="G5" s="118">
        <f>'P&amp;L'!G32</f>
        <v>9.4711239999999997</v>
      </c>
      <c r="H5" s="118">
        <f>'P&amp;L'!H32</f>
        <v>9.4711239999999997</v>
      </c>
      <c r="I5" s="133"/>
      <c r="J5" s="133"/>
      <c r="K5" s="133"/>
    </row>
    <row r="6" spans="1:15" hidden="1" x14ac:dyDescent="0.2">
      <c r="A6" s="115"/>
      <c r="B6" s="115"/>
      <c r="C6" s="115"/>
      <c r="D6" s="115"/>
      <c r="E6" s="115"/>
      <c r="F6" s="115"/>
      <c r="G6" s="115"/>
      <c r="H6" s="115"/>
      <c r="I6" s="133"/>
      <c r="J6" s="133"/>
      <c r="K6" s="133"/>
      <c r="L6" s="263"/>
      <c r="M6" s="263"/>
      <c r="O6" s="264"/>
    </row>
    <row r="7" spans="1:15" hidden="1" x14ac:dyDescent="0.2">
      <c r="A7" s="115" t="s">
        <v>350</v>
      </c>
      <c r="B7" s="118">
        <f>'P&amp;L'!B27</f>
        <v>0.97820000000000018</v>
      </c>
      <c r="C7" s="118">
        <f>'P&amp;L'!C27</f>
        <v>0.97820000000000018</v>
      </c>
      <c r="D7" s="118">
        <f>'P&amp;L'!D27</f>
        <v>0.97820000000000018</v>
      </c>
      <c r="E7" s="118">
        <f>'P&amp;L'!E27</f>
        <v>0.97820000000000018</v>
      </c>
      <c r="F7" s="118">
        <f>'P&amp;L'!F27</f>
        <v>0.97820000000000018</v>
      </c>
      <c r="G7" s="118">
        <f>'P&amp;L'!G27</f>
        <v>0.97820000000000018</v>
      </c>
      <c r="H7" s="118">
        <f>'P&amp;L'!H27</f>
        <v>0.97820000000000018</v>
      </c>
      <c r="I7" s="133"/>
      <c r="J7" s="133"/>
      <c r="K7" s="133"/>
      <c r="L7" s="264"/>
      <c r="M7" s="263"/>
      <c r="O7" s="264"/>
    </row>
    <row r="8" spans="1:15" hidden="1" x14ac:dyDescent="0.2">
      <c r="A8" s="115"/>
      <c r="B8" s="115"/>
      <c r="C8" s="115"/>
      <c r="D8" s="115"/>
      <c r="E8" s="115"/>
      <c r="F8" s="115"/>
      <c r="G8" s="115"/>
      <c r="H8" s="115"/>
      <c r="I8" s="133"/>
      <c r="J8" s="133"/>
      <c r="K8" s="133"/>
      <c r="L8" s="263"/>
      <c r="M8" s="263"/>
      <c r="O8" s="264"/>
    </row>
    <row r="9" spans="1:15" hidden="1" x14ac:dyDescent="0.2">
      <c r="A9" s="156" t="s">
        <v>433</v>
      </c>
      <c r="B9" s="115"/>
      <c r="C9" s="115"/>
      <c r="D9" s="115"/>
      <c r="E9" s="115"/>
      <c r="F9" s="115"/>
      <c r="G9" s="115"/>
      <c r="H9" s="121">
        <v>0</v>
      </c>
      <c r="I9" s="133"/>
      <c r="J9" s="133"/>
      <c r="K9" s="133"/>
    </row>
    <row r="10" spans="1:15" hidden="1" x14ac:dyDescent="0.2">
      <c r="A10" s="115"/>
      <c r="B10" s="115"/>
      <c r="C10" s="115"/>
      <c r="D10" s="115"/>
      <c r="E10" s="115"/>
      <c r="F10" s="115"/>
      <c r="G10" s="115"/>
      <c r="H10" s="115"/>
      <c r="I10" s="133"/>
      <c r="J10" s="133"/>
      <c r="K10" s="133"/>
    </row>
    <row r="11" spans="1:15" hidden="1" x14ac:dyDescent="0.2">
      <c r="A11" s="115" t="s">
        <v>351</v>
      </c>
      <c r="B11" s="118">
        <f>B3+B5+B7</f>
        <v>22.279678000000008</v>
      </c>
      <c r="C11" s="118">
        <f t="shared" ref="C11:G11" si="0">C3+C5+C7</f>
        <v>28.689278443124991</v>
      </c>
      <c r="D11" s="118">
        <f t="shared" si="0"/>
        <v>31.328538274031239</v>
      </c>
      <c r="E11" s="118">
        <f t="shared" si="0"/>
        <v>36.247236720857828</v>
      </c>
      <c r="F11" s="118">
        <f t="shared" si="0"/>
        <v>41.438795296275728</v>
      </c>
      <c r="G11" s="118">
        <f t="shared" si="0"/>
        <v>47.878948704214508</v>
      </c>
      <c r="H11" s="118">
        <f>H3+H5+H7+H9</f>
        <v>54.660945754406541</v>
      </c>
      <c r="I11" s="133"/>
      <c r="J11" s="133"/>
      <c r="K11" s="133"/>
    </row>
    <row r="12" spans="1:15" hidden="1" x14ac:dyDescent="0.2">
      <c r="A12" s="115"/>
      <c r="B12" s="115"/>
      <c r="C12" s="115"/>
      <c r="D12" s="115"/>
      <c r="E12" s="115"/>
      <c r="F12" s="115"/>
      <c r="G12" s="115"/>
      <c r="H12" s="115"/>
      <c r="I12" s="133"/>
      <c r="J12" s="133"/>
      <c r="K12" s="133"/>
    </row>
    <row r="13" spans="1:15" hidden="1" x14ac:dyDescent="0.2">
      <c r="A13" s="157" t="s">
        <v>352</v>
      </c>
      <c r="B13" s="115">
        <f>1/1.1</f>
        <v>0.90909090909090906</v>
      </c>
      <c r="C13" s="115">
        <f>B13/1.1</f>
        <v>0.82644628099173545</v>
      </c>
      <c r="D13" s="115">
        <f>C13/1.1</f>
        <v>0.75131480090157765</v>
      </c>
      <c r="E13" s="115">
        <f t="shared" ref="E13:H13" si="1">D13/1.1</f>
        <v>0.68301345536507052</v>
      </c>
      <c r="F13" s="115">
        <f t="shared" si="1"/>
        <v>0.62092132305915493</v>
      </c>
      <c r="G13" s="115">
        <f t="shared" si="1"/>
        <v>0.56447393005377711</v>
      </c>
      <c r="H13" s="115">
        <f t="shared" si="1"/>
        <v>0.51315811823070645</v>
      </c>
      <c r="I13" s="133"/>
      <c r="J13" s="133"/>
      <c r="K13" s="133"/>
    </row>
    <row r="14" spans="1:15" hidden="1" x14ac:dyDescent="0.2">
      <c r="A14" s="115"/>
      <c r="B14" s="115"/>
      <c r="C14" s="115"/>
      <c r="D14" s="115"/>
      <c r="E14" s="115"/>
      <c r="F14" s="115"/>
      <c r="G14" s="115"/>
      <c r="H14" s="115"/>
      <c r="I14" s="133"/>
      <c r="J14" s="133"/>
      <c r="K14" s="133"/>
    </row>
    <row r="15" spans="1:15" hidden="1" x14ac:dyDescent="0.2">
      <c r="A15" s="156" t="s">
        <v>434</v>
      </c>
      <c r="B15" s="121">
        <f t="shared" ref="B15:H15" si="2">B11*B13</f>
        <v>20.254252727272732</v>
      </c>
      <c r="C15" s="121">
        <f t="shared" si="2"/>
        <v>23.710147473657013</v>
      </c>
      <c r="D15" s="121">
        <f t="shared" si="2"/>
        <v>23.537594495891234</v>
      </c>
      <c r="E15" s="121">
        <f t="shared" si="2"/>
        <v>24.757350400148773</v>
      </c>
      <c r="F15" s="121">
        <f t="shared" si="2"/>
        <v>25.730231601341011</v>
      </c>
      <c r="G15" s="121">
        <f t="shared" si="2"/>
        <v>27.026418341911164</v>
      </c>
      <c r="H15" s="121">
        <f t="shared" si="2"/>
        <v>28.049708064041983</v>
      </c>
      <c r="I15" s="133"/>
      <c r="J15" s="133"/>
      <c r="K15" s="133"/>
    </row>
    <row r="16" spans="1:15" hidden="1" x14ac:dyDescent="0.2">
      <c r="A16" s="115"/>
      <c r="B16" s="115"/>
      <c r="C16" s="115"/>
      <c r="D16" s="115"/>
      <c r="E16" s="115"/>
      <c r="F16" s="115"/>
      <c r="G16" s="115"/>
      <c r="H16" s="115"/>
      <c r="I16" s="133"/>
      <c r="J16" s="133"/>
      <c r="K16" s="133"/>
    </row>
    <row r="17" spans="1:11" s="133" customFormat="1" hidden="1" x14ac:dyDescent="0.2">
      <c r="A17" s="157" t="s">
        <v>435</v>
      </c>
      <c r="B17" s="199">
        <f>SUM(B15:H15)</f>
        <v>173.06570310426392</v>
      </c>
      <c r="C17" s="116"/>
      <c r="D17" s="116"/>
      <c r="E17" s="116"/>
      <c r="F17" s="116"/>
      <c r="G17" s="116"/>
      <c r="H17" s="116"/>
    </row>
    <row r="18" spans="1:11" s="133" customFormat="1" hidden="1" x14ac:dyDescent="0.2"/>
    <row r="19" spans="1:11" s="133" customFormat="1" hidden="1" x14ac:dyDescent="0.2"/>
    <row r="20" spans="1:11" hidden="1" x14ac:dyDescent="0.2">
      <c r="A20" s="155" t="s">
        <v>436</v>
      </c>
      <c r="B20" s="265">
        <f>'Project Glance'!B15</f>
        <v>207.80393333333336</v>
      </c>
      <c r="D20" s="265"/>
      <c r="E20" s="266"/>
      <c r="F20" s="266"/>
      <c r="G20" s="266"/>
      <c r="H20" s="266"/>
      <c r="I20" s="266"/>
      <c r="J20" s="266"/>
    </row>
    <row r="21" spans="1:11" hidden="1" x14ac:dyDescent="0.2">
      <c r="E21" s="239"/>
      <c r="F21" s="266"/>
      <c r="G21" s="266"/>
      <c r="H21" s="266"/>
      <c r="I21" s="266"/>
      <c r="J21" s="266"/>
    </row>
    <row r="22" spans="1:11" s="269" customFormat="1" ht="15" hidden="1" x14ac:dyDescent="0.25">
      <c r="A22" s="267" t="s">
        <v>437</v>
      </c>
      <c r="B22" s="268">
        <f>B17-B20</f>
        <v>-34.738230229069444</v>
      </c>
    </row>
    <row r="23" spans="1:11" hidden="1" x14ac:dyDescent="0.2"/>
    <row r="24" spans="1:11" ht="15" hidden="1" x14ac:dyDescent="0.25">
      <c r="A24" s="270" t="s">
        <v>353</v>
      </c>
      <c r="B24" s="271" t="e">
        <f>IRR(B11:H11)</f>
        <v>#NUM!</v>
      </c>
    </row>
    <row r="25" spans="1:11" ht="15" hidden="1" x14ac:dyDescent="0.25">
      <c r="A25" s="269"/>
      <c r="B25" s="269"/>
    </row>
    <row r="26" spans="1:11" ht="15" hidden="1" x14ac:dyDescent="0.25">
      <c r="A26" s="270" t="s">
        <v>443</v>
      </c>
      <c r="B26" s="272">
        <f>AVERAGE('P&amp;L'!B36:H36)/'Project Glance'!B23</f>
        <v>0.13019013379936767</v>
      </c>
      <c r="D26" s="264"/>
    </row>
    <row r="28" spans="1:11" ht="15" x14ac:dyDescent="0.25">
      <c r="A28" s="273" t="s">
        <v>1</v>
      </c>
      <c r="B28" s="273" t="s">
        <v>36</v>
      </c>
      <c r="C28" s="273" t="s">
        <v>37</v>
      </c>
      <c r="D28" s="273" t="s">
        <v>38</v>
      </c>
      <c r="E28" s="273" t="s">
        <v>39</v>
      </c>
      <c r="F28" s="273" t="s">
        <v>40</v>
      </c>
      <c r="G28" s="273" t="s">
        <v>41</v>
      </c>
      <c r="H28" s="273" t="s">
        <v>42</v>
      </c>
      <c r="I28" s="273" t="s">
        <v>494</v>
      </c>
      <c r="J28" s="273" t="s">
        <v>495</v>
      </c>
      <c r="K28" s="273" t="s">
        <v>496</v>
      </c>
    </row>
    <row r="29" spans="1:11" x14ac:dyDescent="0.2">
      <c r="A29" s="115" t="s">
        <v>348</v>
      </c>
      <c r="B29" s="118">
        <f>+'P&amp;L'!B36</f>
        <v>11.830354000000007</v>
      </c>
      <c r="C29" s="118">
        <f>+'P&amp;L'!C36</f>
        <v>18.23995444312499</v>
      </c>
      <c r="D29" s="118">
        <f>+'P&amp;L'!D36</f>
        <v>20.879214274031238</v>
      </c>
      <c r="E29" s="118">
        <f>+'P&amp;L'!E36</f>
        <v>25.79791272085783</v>
      </c>
      <c r="F29" s="118">
        <f>+'P&amp;L'!F36</f>
        <v>30.989471296275724</v>
      </c>
      <c r="G29" s="118">
        <f>+'P&amp;L'!G36</f>
        <v>37.429624704214504</v>
      </c>
      <c r="H29" s="118">
        <f>+'P&amp;L'!H36</f>
        <v>44.211621754406536</v>
      </c>
      <c r="I29" s="118">
        <f>+'P&amp;L'!I36</f>
        <v>52.890604986562735</v>
      </c>
      <c r="J29" s="118">
        <f>+'P&amp;L'!J36</f>
        <v>61.411021301319678</v>
      </c>
      <c r="K29" s="118">
        <f>+'P&amp;L'!K36</f>
        <v>71.777770852395662</v>
      </c>
    </row>
    <row r="30" spans="1:11" x14ac:dyDescent="0.2">
      <c r="A30" s="115" t="s">
        <v>355</v>
      </c>
      <c r="B30" s="118">
        <f>SUM(B36:B40)</f>
        <v>30.791046000000001</v>
      </c>
      <c r="C30" s="118">
        <f t="shared" ref="C30:K30" si="3">SUM(C36:C40)</f>
        <v>31.97185708125</v>
      </c>
      <c r="D30" s="118">
        <f t="shared" si="3"/>
        <v>33.148136822812504</v>
      </c>
      <c r="E30" s="118">
        <f t="shared" si="3"/>
        <v>34.336526345203133</v>
      </c>
      <c r="F30" s="118">
        <f t="shared" si="3"/>
        <v>35.651435631213289</v>
      </c>
      <c r="G30" s="118">
        <f t="shared" si="3"/>
        <v>37.02233995027396</v>
      </c>
      <c r="H30" s="118">
        <f t="shared" si="3"/>
        <v>38.463732838412653</v>
      </c>
      <c r="I30" s="118">
        <f t="shared" si="3"/>
        <v>40.030472586583286</v>
      </c>
      <c r="J30" s="118">
        <f t="shared" si="3"/>
        <v>41.607770940912459</v>
      </c>
      <c r="K30" s="118">
        <f t="shared" si="3"/>
        <v>43.313319406708075</v>
      </c>
    </row>
    <row r="31" spans="1:11" x14ac:dyDescent="0.2">
      <c r="A31" s="115"/>
      <c r="B31" s="118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x14ac:dyDescent="0.2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1" x14ac:dyDescent="0.2">
      <c r="A33" s="115" t="s">
        <v>354</v>
      </c>
      <c r="B33" s="118">
        <f>SUM(B29:B32)</f>
        <v>42.621400000000008</v>
      </c>
      <c r="C33" s="118">
        <f t="shared" ref="C33:K33" si="4">SUM(C29:C32)</f>
        <v>50.211811524374994</v>
      </c>
      <c r="D33" s="118">
        <f t="shared" si="4"/>
        <v>54.027351096843745</v>
      </c>
      <c r="E33" s="118">
        <f t="shared" si="4"/>
        <v>60.134439066060963</v>
      </c>
      <c r="F33" s="118">
        <f t="shared" si="4"/>
        <v>66.640906927489013</v>
      </c>
      <c r="G33" s="118">
        <f t="shared" si="4"/>
        <v>74.451964654488464</v>
      </c>
      <c r="H33" s="118">
        <f t="shared" si="4"/>
        <v>82.67535459281919</v>
      </c>
      <c r="I33" s="118">
        <f t="shared" si="4"/>
        <v>92.921077573146022</v>
      </c>
      <c r="J33" s="118">
        <f t="shared" si="4"/>
        <v>103.01879224223214</v>
      </c>
      <c r="K33" s="118">
        <f t="shared" si="4"/>
        <v>115.09109025910374</v>
      </c>
    </row>
    <row r="34" spans="1:11" x14ac:dyDescent="0.2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ht="15" x14ac:dyDescent="0.25">
      <c r="A35" s="206" t="s">
        <v>355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x14ac:dyDescent="0.2">
      <c r="A36" s="115" t="s">
        <v>438</v>
      </c>
      <c r="B36" s="119">
        <f>'P&amp;L'!B23</f>
        <v>19.698599999999999</v>
      </c>
      <c r="C36" s="119">
        <f>'P&amp;L'!C23</f>
        <v>20.682030000000001</v>
      </c>
      <c r="D36" s="119">
        <f>'P&amp;L'!D23</f>
        <v>21.714631500000003</v>
      </c>
      <c r="E36" s="119">
        <f>'P&amp;L'!E23</f>
        <v>22.798863075000007</v>
      </c>
      <c r="F36" s="119">
        <f>'P&amp;L'!F23</f>
        <v>23.937306228750007</v>
      </c>
      <c r="G36" s="119">
        <f>'P&amp;L'!G23</f>
        <v>25.132671540187509</v>
      </c>
      <c r="H36" s="119">
        <f>'P&amp;L'!H23</f>
        <v>26.387805117196883</v>
      </c>
      <c r="I36" s="119">
        <f>'P&amp;L'!I23</f>
        <v>27.705695373056734</v>
      </c>
      <c r="J36" s="119">
        <f>'P&amp;L'!J23</f>
        <v>29.089480141709572</v>
      </c>
      <c r="K36" s="119">
        <f>'P&amp;L'!K23</f>
        <v>30.542454148795052</v>
      </c>
    </row>
    <row r="37" spans="1:11" x14ac:dyDescent="0.2">
      <c r="A37" s="115" t="s">
        <v>439</v>
      </c>
      <c r="B37" s="119">
        <f>'P&amp;L'!B30</f>
        <v>0</v>
      </c>
      <c r="C37" s="119">
        <f>'P&amp;L'!C30</f>
        <v>0</v>
      </c>
      <c r="D37" s="119">
        <f>'P&amp;L'!D30</f>
        <v>0</v>
      </c>
      <c r="E37" s="119">
        <f>'P&amp;L'!E30</f>
        <v>0</v>
      </c>
      <c r="F37" s="119">
        <f>'P&amp;L'!F30</f>
        <v>0</v>
      </c>
      <c r="G37" s="119">
        <f>'P&amp;L'!G30</f>
        <v>0</v>
      </c>
      <c r="H37" s="119">
        <f>'P&amp;L'!H30</f>
        <v>0</v>
      </c>
      <c r="I37" s="119">
        <f>'P&amp;L'!I30</f>
        <v>0</v>
      </c>
      <c r="J37" s="119">
        <f>'P&amp;L'!J30</f>
        <v>0</v>
      </c>
      <c r="K37" s="119">
        <f>'P&amp;L'!K30</f>
        <v>0</v>
      </c>
    </row>
    <row r="38" spans="1:11" x14ac:dyDescent="0.2">
      <c r="A38" s="115" t="s">
        <v>440</v>
      </c>
      <c r="B38" s="119">
        <f>'P&amp;L'!B31</f>
        <v>0.64312200000000008</v>
      </c>
      <c r="C38" s="119">
        <f>'P&amp;L'!C31</f>
        <v>0.84050308124999984</v>
      </c>
      <c r="D38" s="119">
        <f>'P&amp;L'!D31</f>
        <v>0.98418132281250004</v>
      </c>
      <c r="E38" s="119">
        <f>'P&amp;L'!E31</f>
        <v>1.0883392702031249</v>
      </c>
      <c r="F38" s="119">
        <f>'P&amp;L'!F31</f>
        <v>1.2648054024632811</v>
      </c>
      <c r="G38" s="119">
        <f>'P&amp;L'!G31</f>
        <v>1.4403444100864458</v>
      </c>
      <c r="H38" s="119">
        <f>'P&amp;L'!H31</f>
        <v>1.6266037212157682</v>
      </c>
      <c r="I38" s="119">
        <f>'P&amp;L'!I31</f>
        <v>1.875453213526556</v>
      </c>
      <c r="J38" s="119">
        <f>'P&amp;L'!J31</f>
        <v>2.0689667992028831</v>
      </c>
      <c r="K38" s="119">
        <f>'P&amp;L'!K31</f>
        <v>2.3215412579130281</v>
      </c>
    </row>
    <row r="39" spans="1:11" x14ac:dyDescent="0.2">
      <c r="A39" s="115" t="s">
        <v>360</v>
      </c>
      <c r="B39" s="119">
        <f>'P&amp;L'!B32</f>
        <v>9.4711239999999997</v>
      </c>
      <c r="C39" s="119">
        <f>'P&amp;L'!C32</f>
        <v>9.4711239999999997</v>
      </c>
      <c r="D39" s="119">
        <f>'P&amp;L'!D32</f>
        <v>9.4711239999999997</v>
      </c>
      <c r="E39" s="119">
        <f>'P&amp;L'!E32</f>
        <v>9.4711239999999997</v>
      </c>
      <c r="F39" s="119">
        <f>'P&amp;L'!F32</f>
        <v>9.4711239999999997</v>
      </c>
      <c r="G39" s="119">
        <f>'P&amp;L'!G32</f>
        <v>9.4711239999999997</v>
      </c>
      <c r="H39" s="119">
        <f>'P&amp;L'!H32</f>
        <v>9.4711239999999997</v>
      </c>
      <c r="I39" s="119">
        <f>'P&amp;L'!I32</f>
        <v>9.4711239999999997</v>
      </c>
      <c r="J39" s="119">
        <f>'P&amp;L'!J32</f>
        <v>9.4711239999999997</v>
      </c>
      <c r="K39" s="119">
        <f>'P&amp;L'!K32</f>
        <v>9.4711239999999997</v>
      </c>
    </row>
    <row r="40" spans="1:11" x14ac:dyDescent="0.2">
      <c r="A40" s="115" t="s">
        <v>441</v>
      </c>
      <c r="B40" s="119">
        <f>'P&amp;L'!B27</f>
        <v>0.97820000000000018</v>
      </c>
      <c r="C40" s="119">
        <f>'P&amp;L'!C27</f>
        <v>0.97820000000000018</v>
      </c>
      <c r="D40" s="119">
        <f>'P&amp;L'!D27</f>
        <v>0.97820000000000018</v>
      </c>
      <c r="E40" s="119">
        <f>'P&amp;L'!E27</f>
        <v>0.97820000000000018</v>
      </c>
      <c r="F40" s="119">
        <f>'P&amp;L'!F27</f>
        <v>0.97820000000000018</v>
      </c>
      <c r="G40" s="119">
        <f>'P&amp;L'!G27</f>
        <v>0.97820000000000018</v>
      </c>
      <c r="H40" s="119">
        <f>'P&amp;L'!H27</f>
        <v>0.97820000000000018</v>
      </c>
      <c r="I40" s="119">
        <f>'P&amp;L'!I27</f>
        <v>0.97820000000000018</v>
      </c>
      <c r="J40" s="119">
        <f>'P&amp;L'!J27</f>
        <v>0.97820000000000018</v>
      </c>
      <c r="K40" s="119">
        <f>'P&amp;L'!K27</f>
        <v>0.97820000000000018</v>
      </c>
    </row>
    <row r="41" spans="1:11" x14ac:dyDescent="0.2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</row>
    <row r="42" spans="1:11" x14ac:dyDescent="0.2">
      <c r="A42" s="115" t="s">
        <v>356</v>
      </c>
      <c r="B42" s="274">
        <f>(B36+B37+B38+B39+B40)/B33</f>
        <v>0.72243159539574009</v>
      </c>
      <c r="C42" s="274">
        <f t="shared" ref="C42:K42" si="5">(C36+C37+C38+C39+C40)/C33</f>
        <v>0.63673976521897591</v>
      </c>
      <c r="D42" s="274">
        <f t="shared" si="5"/>
        <v>0.61354362466141721</v>
      </c>
      <c r="E42" s="274">
        <f t="shared" si="5"/>
        <v>0.57099603618955497</v>
      </c>
      <c r="F42" s="274">
        <f t="shared" si="5"/>
        <v>0.53497824797020077</v>
      </c>
      <c r="G42" s="274">
        <f t="shared" si="5"/>
        <v>0.49726478168957233</v>
      </c>
      <c r="H42" s="274">
        <f t="shared" si="5"/>
        <v>0.4652381961692057</v>
      </c>
      <c r="I42" s="274">
        <f t="shared" si="5"/>
        <v>0.43080077881223366</v>
      </c>
      <c r="J42" s="274">
        <f t="shared" si="5"/>
        <v>0.40388525273212744</v>
      </c>
      <c r="K42" s="274">
        <f t="shared" si="5"/>
        <v>0.37633946562846099</v>
      </c>
    </row>
    <row r="43" spans="1:11" x14ac:dyDescent="0.2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ht="15" x14ac:dyDescent="0.25">
      <c r="A44" s="275" t="s">
        <v>357</v>
      </c>
      <c r="B44" s="276">
        <f>AVERAGE(B42:K42)</f>
        <v>0.52522177444674889</v>
      </c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ht="15" x14ac:dyDescent="0.25">
      <c r="A45" s="269"/>
      <c r="B45" s="269"/>
    </row>
    <row r="46" spans="1:11" ht="15" hidden="1" x14ac:dyDescent="0.25">
      <c r="A46" s="270" t="s">
        <v>442</v>
      </c>
      <c r="B46" s="270"/>
    </row>
    <row r="47" spans="1:11" ht="15" hidden="1" x14ac:dyDescent="0.25">
      <c r="A47" s="269"/>
      <c r="B47" s="269"/>
    </row>
    <row r="49" spans="1:11" ht="15" x14ac:dyDescent="0.25">
      <c r="A49" s="114" t="s">
        <v>358</v>
      </c>
      <c r="B49" s="160" t="s">
        <v>36</v>
      </c>
      <c r="C49" s="160" t="s">
        <v>37</v>
      </c>
      <c r="D49" s="160" t="s">
        <v>38</v>
      </c>
      <c r="E49" s="160" t="s">
        <v>39</v>
      </c>
      <c r="F49" s="160" t="s">
        <v>40</v>
      </c>
      <c r="G49" s="160" t="s">
        <v>41</v>
      </c>
      <c r="H49" s="160" t="s">
        <v>42</v>
      </c>
      <c r="I49" s="160" t="s">
        <v>494</v>
      </c>
      <c r="J49" s="160" t="s">
        <v>495</v>
      </c>
      <c r="K49" s="160" t="s">
        <v>496</v>
      </c>
    </row>
    <row r="50" spans="1:11" x14ac:dyDescent="0.2">
      <c r="A50" s="115" t="s">
        <v>359</v>
      </c>
      <c r="B50" s="118">
        <f>'P&amp;L'!B36</f>
        <v>11.830354000000007</v>
      </c>
      <c r="C50" s="118">
        <f>'P&amp;L'!C36</f>
        <v>18.23995444312499</v>
      </c>
      <c r="D50" s="118">
        <f>'P&amp;L'!D36</f>
        <v>20.879214274031238</v>
      </c>
      <c r="E50" s="118">
        <f>'P&amp;L'!E36</f>
        <v>25.79791272085783</v>
      </c>
      <c r="F50" s="118">
        <f>'P&amp;L'!F36</f>
        <v>30.989471296275724</v>
      </c>
      <c r="G50" s="118">
        <f>'P&amp;L'!G36</f>
        <v>37.429624704214504</v>
      </c>
      <c r="H50" s="118">
        <f>'P&amp;L'!H36</f>
        <v>44.211621754406536</v>
      </c>
      <c r="I50" s="118">
        <f>'P&amp;L'!I36</f>
        <v>52.890604986562735</v>
      </c>
      <c r="J50" s="118">
        <f>'P&amp;L'!J36</f>
        <v>61.411021301319678</v>
      </c>
      <c r="K50" s="118">
        <f>'P&amp;L'!K36</f>
        <v>71.777770852395662</v>
      </c>
    </row>
    <row r="51" spans="1:11" x14ac:dyDescent="0.2">
      <c r="A51" s="115" t="s">
        <v>360</v>
      </c>
      <c r="B51" s="118">
        <f>'P&amp;L'!B32</f>
        <v>9.4711239999999997</v>
      </c>
      <c r="C51" s="118">
        <f>'P&amp;L'!C32</f>
        <v>9.4711239999999997</v>
      </c>
      <c r="D51" s="118">
        <f>'P&amp;L'!D32</f>
        <v>9.4711239999999997</v>
      </c>
      <c r="E51" s="118">
        <f>'P&amp;L'!E32</f>
        <v>9.4711239999999997</v>
      </c>
      <c r="F51" s="118">
        <f>'P&amp;L'!F32</f>
        <v>9.4711239999999997</v>
      </c>
      <c r="G51" s="118">
        <f>'P&amp;L'!G32</f>
        <v>9.4711239999999997</v>
      </c>
      <c r="H51" s="118">
        <f>'P&amp;L'!H32</f>
        <v>9.4711239999999997</v>
      </c>
      <c r="I51" s="118">
        <f>'P&amp;L'!I32</f>
        <v>9.4711239999999997</v>
      </c>
      <c r="J51" s="118">
        <f>'P&amp;L'!J32</f>
        <v>9.4711239999999997</v>
      </c>
      <c r="K51" s="118">
        <f>'P&amp;L'!K32</f>
        <v>9.4711239999999997</v>
      </c>
    </row>
    <row r="52" spans="1:11" x14ac:dyDescent="0.2">
      <c r="A52" s="115" t="s">
        <v>361</v>
      </c>
      <c r="B52" s="118">
        <f>'P&amp;L'!B30</f>
        <v>0</v>
      </c>
      <c r="C52" s="118">
        <f>'P&amp;L'!C30</f>
        <v>0</v>
      </c>
      <c r="D52" s="118">
        <f>'P&amp;L'!D30</f>
        <v>0</v>
      </c>
      <c r="E52" s="118">
        <f>'P&amp;L'!E30</f>
        <v>0</v>
      </c>
      <c r="F52" s="118">
        <f>'P&amp;L'!F30</f>
        <v>0</v>
      </c>
      <c r="G52" s="118">
        <f>'P&amp;L'!G30</f>
        <v>0</v>
      </c>
      <c r="H52" s="118">
        <f>'P&amp;L'!H30</f>
        <v>0</v>
      </c>
      <c r="I52" s="118">
        <f>'P&amp;L'!I30</f>
        <v>0</v>
      </c>
      <c r="J52" s="118">
        <f>'P&amp;L'!J30</f>
        <v>0</v>
      </c>
      <c r="K52" s="118">
        <f>'P&amp;L'!K30</f>
        <v>0</v>
      </c>
    </row>
    <row r="53" spans="1:11" x14ac:dyDescent="0.2">
      <c r="A53" s="115" t="s">
        <v>441</v>
      </c>
      <c r="B53" s="118">
        <f>'P&amp;L'!B27</f>
        <v>0.97820000000000018</v>
      </c>
      <c r="C53" s="118">
        <f>'P&amp;L'!C27</f>
        <v>0.97820000000000018</v>
      </c>
      <c r="D53" s="118">
        <f>'P&amp;L'!D27</f>
        <v>0.97820000000000018</v>
      </c>
      <c r="E53" s="118">
        <f>'P&amp;L'!E27</f>
        <v>0.97820000000000018</v>
      </c>
      <c r="F53" s="118">
        <f>'P&amp;L'!F27</f>
        <v>0.97820000000000018</v>
      </c>
      <c r="G53" s="118">
        <f>'P&amp;L'!G27</f>
        <v>0.97820000000000018</v>
      </c>
      <c r="H53" s="118">
        <f>'P&amp;L'!H27</f>
        <v>0.97820000000000018</v>
      </c>
      <c r="I53" s="118">
        <f>'P&amp;L'!I27</f>
        <v>0.97820000000000018</v>
      </c>
      <c r="J53" s="118">
        <f>'P&amp;L'!J27</f>
        <v>0.97820000000000018</v>
      </c>
      <c r="K53" s="118">
        <f>'P&amp;L'!K27</f>
        <v>0.97820000000000018</v>
      </c>
    </row>
    <row r="54" spans="1:11" x14ac:dyDescent="0.2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</row>
    <row r="55" spans="1:11" x14ac:dyDescent="0.2">
      <c r="A55" s="115" t="s">
        <v>362</v>
      </c>
      <c r="B55" s="118">
        <f>SUM(B50:B54)</f>
        <v>22.279678000000008</v>
      </c>
      <c r="C55" s="118">
        <f t="shared" ref="C55:H55" si="6">SUM(C50:C54)</f>
        <v>28.689278443124991</v>
      </c>
      <c r="D55" s="118">
        <f t="shared" si="6"/>
        <v>31.328538274031239</v>
      </c>
      <c r="E55" s="118">
        <f t="shared" si="6"/>
        <v>36.247236720857828</v>
      </c>
      <c r="F55" s="118">
        <f t="shared" si="6"/>
        <v>41.438795296275728</v>
      </c>
      <c r="G55" s="118">
        <f t="shared" si="6"/>
        <v>47.878948704214508</v>
      </c>
      <c r="H55" s="118">
        <f t="shared" si="6"/>
        <v>54.660945754406541</v>
      </c>
      <c r="I55" s="118">
        <f t="shared" ref="I55:K55" si="7">SUM(I50:I54)</f>
        <v>63.33992898656274</v>
      </c>
      <c r="J55" s="118">
        <f t="shared" si="7"/>
        <v>71.860345301319683</v>
      </c>
      <c r="K55" s="118">
        <f t="shared" si="7"/>
        <v>82.227094852395666</v>
      </c>
    </row>
    <row r="56" spans="1:11" x14ac:dyDescent="0.2">
      <c r="A56" s="115" t="s">
        <v>363</v>
      </c>
      <c r="B56" s="119">
        <f>'TL Schedule'!C5+'TL Schedule'!C6</f>
        <v>0</v>
      </c>
      <c r="C56" s="119">
        <f>'TL Schedule'!D5+'TL Schedule'!D6</f>
        <v>0</v>
      </c>
      <c r="D56" s="119">
        <f>'TL Schedule'!E5+'TL Schedule'!E6</f>
        <v>0</v>
      </c>
      <c r="E56" s="119">
        <f>'TL Schedule'!F5+'TL Schedule'!F6</f>
        <v>0</v>
      </c>
      <c r="F56" s="119">
        <f>'TL Schedule'!G5+'TL Schedule'!G6</f>
        <v>0</v>
      </c>
      <c r="G56" s="119">
        <f>'TL Schedule'!H5+'TL Schedule'!H6</f>
        <v>0</v>
      </c>
      <c r="H56" s="119">
        <f>'TL Schedule'!I5+'TL Schedule'!I6</f>
        <v>0</v>
      </c>
      <c r="I56" s="119">
        <f>'TL Schedule'!J5+'TL Schedule'!J6</f>
        <v>0</v>
      </c>
      <c r="J56" s="119">
        <f>'TL Schedule'!K5+'TL Schedule'!K6</f>
        <v>0</v>
      </c>
      <c r="K56" s="119">
        <f>'TL Schedule'!L5+'TL Schedule'!L6</f>
        <v>0</v>
      </c>
    </row>
    <row r="57" spans="1:1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</row>
    <row r="58" spans="1:11" ht="15" x14ac:dyDescent="0.25">
      <c r="A58" s="277" t="s">
        <v>358</v>
      </c>
      <c r="B58" s="278" t="e">
        <f>B55/B56</f>
        <v>#DIV/0!</v>
      </c>
      <c r="C58" s="278" t="e">
        <f t="shared" ref="C58:G58" si="8">C55/C56</f>
        <v>#DIV/0!</v>
      </c>
      <c r="D58" s="278" t="e">
        <f t="shared" si="8"/>
        <v>#DIV/0!</v>
      </c>
      <c r="E58" s="278" t="e">
        <f t="shared" si="8"/>
        <v>#DIV/0!</v>
      </c>
      <c r="F58" s="278" t="e">
        <f t="shared" si="8"/>
        <v>#DIV/0!</v>
      </c>
      <c r="G58" s="278" t="e">
        <f t="shared" si="8"/>
        <v>#DIV/0!</v>
      </c>
      <c r="H58" s="278">
        <v>0</v>
      </c>
      <c r="I58" s="278">
        <v>0</v>
      </c>
      <c r="J58" s="278">
        <v>0</v>
      </c>
      <c r="K58" s="278">
        <v>0</v>
      </c>
    </row>
    <row r="59" spans="1:11" x14ac:dyDescent="0.2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</row>
    <row r="60" spans="1:11" ht="15" x14ac:dyDescent="0.25">
      <c r="A60" s="277" t="s">
        <v>364</v>
      </c>
      <c r="B60" s="278" t="e">
        <f>AVERAGE(B58:G58)</f>
        <v>#DIV/0!</v>
      </c>
      <c r="C60" s="115"/>
      <c r="D60" s="115"/>
      <c r="E60" s="115"/>
      <c r="F60" s="115"/>
      <c r="G60" s="115"/>
      <c r="H60" s="115"/>
      <c r="I60" s="115"/>
      <c r="J60" s="115"/>
      <c r="K60" s="115"/>
    </row>
  </sheetData>
  <pageMargins left="0.7" right="0.7" top="0.75" bottom="0.75" header="0.3" footer="0.3"/>
  <pageSetup orientation="portrait" r:id="rId1"/>
  <colBreaks count="1" manualBreakCount="1">
    <brk id="3" max="5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RowHeight="15" x14ac:dyDescent="0.25"/>
  <cols>
    <col min="1" max="1" width="8.7109375" style="1" bestFit="1" customWidth="1"/>
    <col min="2" max="2" width="77" style="1" bestFit="1" customWidth="1"/>
    <col min="3" max="3" width="9.5703125" style="30" bestFit="1" customWidth="1"/>
    <col min="4" max="10" width="11.28515625" style="1" bestFit="1" customWidth="1"/>
    <col min="11" max="16384" width="9.140625" style="1"/>
  </cols>
  <sheetData>
    <row r="1" spans="1:10" x14ac:dyDescent="0.25">
      <c r="A1" s="12"/>
      <c r="B1" s="12"/>
      <c r="C1" s="25"/>
      <c r="D1" s="409"/>
      <c r="E1" s="409"/>
      <c r="F1" s="409"/>
      <c r="G1" s="409"/>
      <c r="H1" s="409"/>
      <c r="I1" s="409"/>
      <c r="J1" s="410"/>
    </row>
    <row r="2" spans="1:10" x14ac:dyDescent="0.25">
      <c r="A2" s="60" t="s">
        <v>465</v>
      </c>
      <c r="B2" s="60" t="s">
        <v>1</v>
      </c>
      <c r="C2" s="61" t="s">
        <v>466</v>
      </c>
      <c r="D2" s="61" t="s">
        <v>472</v>
      </c>
      <c r="E2" s="61" t="s">
        <v>37</v>
      </c>
      <c r="F2" s="25" t="s">
        <v>38</v>
      </c>
      <c r="G2" s="61" t="s">
        <v>39</v>
      </c>
      <c r="H2" s="61" t="s">
        <v>40</v>
      </c>
      <c r="I2" s="25" t="s">
        <v>41</v>
      </c>
      <c r="J2" s="61" t="s">
        <v>42</v>
      </c>
    </row>
    <row r="3" spans="1:10" x14ac:dyDescent="0.25">
      <c r="A3" s="4"/>
      <c r="B3" s="4"/>
      <c r="C3" s="22"/>
      <c r="D3" s="4"/>
      <c r="E3" s="4"/>
      <c r="F3" s="4"/>
      <c r="G3" s="4"/>
      <c r="H3" s="4"/>
      <c r="I3" s="4"/>
      <c r="J3" s="4"/>
    </row>
    <row r="4" spans="1:10" x14ac:dyDescent="0.25">
      <c r="A4" s="4"/>
      <c r="B4" s="6" t="s">
        <v>471</v>
      </c>
      <c r="C4" s="22">
        <v>1000</v>
      </c>
      <c r="D4" s="7">
        <f>'P&amp;L'!B36*100000/('Output Schedule'!B12+'Output Schedule'!B17)</f>
        <v>243.92482474226816</v>
      </c>
      <c r="E4" s="7">
        <f>'P&amp;L'!C36*100000/('Output Schedule'!C12+'Output Schedule'!C17)</f>
        <v>341.89230446344874</v>
      </c>
      <c r="F4" s="7">
        <f>'P&amp;L'!D36*100000/('Output Schedule'!D12+'Output Schedule'!D17)</f>
        <v>358.74938615173943</v>
      </c>
      <c r="G4" s="7">
        <f>'P&amp;L'!E36*100000/('Output Schedule'!E12+'Output Schedule'!E17)</f>
        <v>409.16594323327246</v>
      </c>
      <c r="H4" s="7">
        <f>'P&amp;L'!F36*100000/('Output Schedule'!F12+'Output Schedule'!F17)</f>
        <v>456.39869361230802</v>
      </c>
      <c r="I4" s="7">
        <f>'P&amp;L'!G36*100000/('Output Schedule'!G12+'Output Schedule'!G17)</f>
        <v>514.49655950810302</v>
      </c>
      <c r="J4" s="7">
        <f>'P&amp;L'!H36*100000/('Output Schedule'!H12+'Output Schedule'!H17)</f>
        <v>569.73739374235197</v>
      </c>
    </row>
    <row r="5" spans="1:10" x14ac:dyDescent="0.25">
      <c r="A5" s="4"/>
      <c r="B5" s="38" t="s">
        <v>485</v>
      </c>
      <c r="C5" s="58"/>
      <c r="D5" s="9">
        <f>D4</f>
        <v>243.92482474226816</v>
      </c>
      <c r="E5" s="9">
        <f t="shared" ref="E5:J5" si="0">E4</f>
        <v>341.89230446344874</v>
      </c>
      <c r="F5" s="9">
        <f t="shared" si="0"/>
        <v>358.74938615173943</v>
      </c>
      <c r="G5" s="9">
        <f t="shared" si="0"/>
        <v>409.16594323327246</v>
      </c>
      <c r="H5" s="9">
        <f t="shared" si="0"/>
        <v>456.39869361230802</v>
      </c>
      <c r="I5" s="9">
        <f t="shared" si="0"/>
        <v>514.49655950810302</v>
      </c>
      <c r="J5" s="9">
        <f t="shared" si="0"/>
        <v>569.73739374235197</v>
      </c>
    </row>
    <row r="6" spans="1:10" x14ac:dyDescent="0.25">
      <c r="A6" s="4"/>
      <c r="B6" s="4"/>
      <c r="C6" s="22"/>
      <c r="D6" s="4"/>
      <c r="E6" s="4"/>
      <c r="F6" s="4"/>
      <c r="G6" s="4"/>
      <c r="H6" s="4"/>
      <c r="I6" s="4"/>
      <c r="J6" s="4"/>
    </row>
    <row r="7" spans="1:10" x14ac:dyDescent="0.25">
      <c r="A7" s="62"/>
      <c r="B7" s="63"/>
      <c r="C7" s="64"/>
      <c r="D7" s="65"/>
      <c r="E7" s="65"/>
      <c r="F7" s="65"/>
      <c r="G7" s="65"/>
      <c r="H7" s="65"/>
      <c r="I7" s="65"/>
      <c r="J7" s="65"/>
    </row>
    <row r="8" spans="1:10" x14ac:dyDescent="0.25">
      <c r="A8" s="4"/>
      <c r="B8" s="6"/>
      <c r="C8" s="22"/>
      <c r="D8" s="9"/>
      <c r="E8" s="4"/>
      <c r="F8" s="4"/>
      <c r="G8" s="4"/>
      <c r="H8" s="4"/>
      <c r="I8" s="4"/>
      <c r="J8" s="4"/>
    </row>
    <row r="9" spans="1:10" x14ac:dyDescent="0.25">
      <c r="A9" s="66"/>
      <c r="B9" s="67" t="s">
        <v>467</v>
      </c>
      <c r="C9" s="68"/>
      <c r="D9" s="66"/>
      <c r="E9" s="66"/>
      <c r="F9" s="66"/>
      <c r="G9" s="66"/>
      <c r="H9" s="66"/>
      <c r="I9" s="66"/>
      <c r="J9" s="66"/>
    </row>
    <row r="10" spans="1:10" x14ac:dyDescent="0.25">
      <c r="A10" s="4"/>
      <c r="B10" s="6"/>
      <c r="C10" s="22"/>
      <c r="D10" s="9"/>
      <c r="E10" s="4"/>
      <c r="F10" s="4"/>
      <c r="G10" s="4"/>
      <c r="H10" s="4"/>
      <c r="I10" s="4"/>
      <c r="J10" s="4"/>
    </row>
    <row r="11" spans="1:10" x14ac:dyDescent="0.25">
      <c r="A11" s="4"/>
      <c r="B11" s="6" t="s">
        <v>468</v>
      </c>
      <c r="C11" s="22"/>
      <c r="D11" s="9"/>
      <c r="E11" s="4"/>
      <c r="F11" s="4"/>
      <c r="G11" s="4"/>
      <c r="H11" s="4"/>
      <c r="I11" s="4"/>
      <c r="J11" s="4"/>
    </row>
    <row r="12" spans="1:10" x14ac:dyDescent="0.25">
      <c r="A12" s="4"/>
      <c r="B12" s="70" t="s">
        <v>469</v>
      </c>
      <c r="C12" s="22"/>
      <c r="D12" s="9">
        <f>D5*0.6</f>
        <v>146.35489484536089</v>
      </c>
      <c r="E12" s="9">
        <f t="shared" ref="E12:J12" si="1">E5*0.6</f>
        <v>205.13538267806925</v>
      </c>
      <c r="F12" s="9">
        <f t="shared" si="1"/>
        <v>215.24963169104365</v>
      </c>
      <c r="G12" s="9">
        <f t="shared" si="1"/>
        <v>245.49956593996347</v>
      </c>
      <c r="H12" s="9">
        <f t="shared" si="1"/>
        <v>273.83921616738479</v>
      </c>
      <c r="I12" s="9">
        <f t="shared" si="1"/>
        <v>308.69793570486178</v>
      </c>
      <c r="J12" s="9">
        <f t="shared" si="1"/>
        <v>341.84243624541119</v>
      </c>
    </row>
    <row r="13" spans="1:10" x14ac:dyDescent="0.25">
      <c r="A13" s="4"/>
      <c r="B13" s="70" t="s">
        <v>470</v>
      </c>
      <c r="C13" s="22"/>
      <c r="D13" s="9">
        <f>D5*0.4</f>
        <v>97.569929896907269</v>
      </c>
      <c r="E13" s="9">
        <f t="shared" ref="E13:J13" si="2">E5*0.4</f>
        <v>136.75692178537949</v>
      </c>
      <c r="F13" s="9">
        <f t="shared" si="2"/>
        <v>143.49975446069578</v>
      </c>
      <c r="G13" s="9">
        <f t="shared" si="2"/>
        <v>163.66637729330898</v>
      </c>
      <c r="H13" s="9">
        <f t="shared" si="2"/>
        <v>182.55947744492323</v>
      </c>
      <c r="I13" s="9">
        <f t="shared" si="2"/>
        <v>205.79862380324121</v>
      </c>
      <c r="J13" s="9">
        <f t="shared" si="2"/>
        <v>227.8949574969408</v>
      </c>
    </row>
    <row r="14" spans="1:10" x14ac:dyDescent="0.25">
      <c r="A14" s="4"/>
      <c r="B14" s="4"/>
      <c r="C14" s="22"/>
      <c r="D14" s="4"/>
      <c r="E14" s="4"/>
      <c r="F14" s="4"/>
      <c r="G14" s="4"/>
      <c r="H14" s="4"/>
      <c r="I14" s="4"/>
      <c r="J14" s="4"/>
    </row>
  </sheetData>
  <mergeCells count="1">
    <mergeCell ref="D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RowHeight="15" x14ac:dyDescent="0.25"/>
  <cols>
    <col min="1" max="1" width="41.7109375" style="3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72" t="s">
        <v>1</v>
      </c>
      <c r="B1" s="59" t="s">
        <v>36</v>
      </c>
      <c r="C1" s="59" t="s">
        <v>37</v>
      </c>
      <c r="D1" s="59" t="s">
        <v>38</v>
      </c>
      <c r="E1" s="59" t="s">
        <v>39</v>
      </c>
      <c r="F1" s="59" t="s">
        <v>40</v>
      </c>
      <c r="G1" s="59" t="s">
        <v>41</v>
      </c>
      <c r="H1" s="59" t="s">
        <v>42</v>
      </c>
    </row>
    <row r="2" spans="1:8" x14ac:dyDescent="0.25">
      <c r="A2" s="8"/>
      <c r="B2" s="4"/>
      <c r="C2" s="4"/>
      <c r="D2" s="4"/>
      <c r="E2" s="4"/>
      <c r="F2" s="4"/>
      <c r="G2" s="4"/>
      <c r="H2" s="4"/>
    </row>
    <row r="3" spans="1:8" x14ac:dyDescent="0.25">
      <c r="A3" s="38" t="s">
        <v>473</v>
      </c>
      <c r="B3" s="4"/>
      <c r="C3" s="4"/>
      <c r="D3" s="4"/>
      <c r="E3" s="4"/>
      <c r="F3" s="4"/>
      <c r="G3" s="4"/>
      <c r="H3" s="4"/>
    </row>
    <row r="4" spans="1:8" x14ac:dyDescent="0.25">
      <c r="A4" s="8" t="s">
        <v>474</v>
      </c>
      <c r="B4" s="73">
        <f>'Output Schedule'!B12+'Output Schedule'!B17</f>
        <v>4850</v>
      </c>
      <c r="C4" s="73">
        <f>'Output Schedule'!C12+'Output Schedule'!C17</f>
        <v>5335</v>
      </c>
      <c r="D4" s="73">
        <f>'Output Schedule'!D12+'Output Schedule'!D17</f>
        <v>5820.0000000000009</v>
      </c>
      <c r="E4" s="73">
        <f>'Output Schedule'!E12+'Output Schedule'!E17</f>
        <v>6305.0000000000009</v>
      </c>
      <c r="F4" s="73">
        <f>'Output Schedule'!F12+'Output Schedule'!F17</f>
        <v>6790.0000000000018</v>
      </c>
      <c r="G4" s="73">
        <f>'Output Schedule'!G12+'Output Schedule'!G17</f>
        <v>7275.0000000000018</v>
      </c>
      <c r="H4" s="73">
        <f>'Output Schedule'!H12+'Output Schedule'!H17</f>
        <v>7760.0000000000027</v>
      </c>
    </row>
    <row r="5" spans="1:8" x14ac:dyDescent="0.25">
      <c r="A5" s="8" t="s">
        <v>475</v>
      </c>
      <c r="B5" s="14">
        <f>'[2]Prices and Yields'!D3</f>
        <v>4.9190283400809713</v>
      </c>
      <c r="C5" s="4"/>
      <c r="D5" s="4"/>
      <c r="E5" s="4"/>
      <c r="F5" s="4"/>
      <c r="G5" s="4"/>
      <c r="H5" s="4"/>
    </row>
    <row r="6" spans="1:8" x14ac:dyDescent="0.25">
      <c r="A6" s="8" t="s">
        <v>487</v>
      </c>
      <c r="B6" s="7">
        <f t="shared" ref="B6:H6" si="0">B4/$B$5</f>
        <v>985.96707818930042</v>
      </c>
      <c r="C6" s="7">
        <f t="shared" si="0"/>
        <v>1084.5637860082306</v>
      </c>
      <c r="D6" s="7">
        <f t="shared" si="0"/>
        <v>1183.1604938271607</v>
      </c>
      <c r="E6" s="7">
        <f t="shared" si="0"/>
        <v>1281.7572016460908</v>
      </c>
      <c r="F6" s="7">
        <f t="shared" si="0"/>
        <v>1380.3539094650209</v>
      </c>
      <c r="G6" s="7">
        <f t="shared" si="0"/>
        <v>1478.950617283951</v>
      </c>
      <c r="H6" s="7">
        <f t="shared" si="0"/>
        <v>1577.5473251028814</v>
      </c>
    </row>
    <row r="7" spans="1:8" x14ac:dyDescent="0.25">
      <c r="A7" s="8" t="s">
        <v>488</v>
      </c>
      <c r="B7" s="7">
        <f>B6/2.47</f>
        <v>399.17695473251024</v>
      </c>
      <c r="C7" s="7">
        <f t="shared" ref="C7:H7" si="1">C6/2.47</f>
        <v>439.09465020576135</v>
      </c>
      <c r="D7" s="7">
        <f t="shared" si="1"/>
        <v>479.01234567901241</v>
      </c>
      <c r="E7" s="7">
        <f t="shared" si="1"/>
        <v>518.93004115226347</v>
      </c>
      <c r="F7" s="7">
        <f t="shared" si="1"/>
        <v>558.84773662551447</v>
      </c>
      <c r="G7" s="7">
        <f t="shared" si="1"/>
        <v>598.76543209876559</v>
      </c>
      <c r="H7" s="7">
        <f t="shared" si="1"/>
        <v>638.6831275720167</v>
      </c>
    </row>
    <row r="8" spans="1:8" ht="30" x14ac:dyDescent="0.25">
      <c r="A8" s="74" t="s">
        <v>489</v>
      </c>
      <c r="B8" s="75">
        <f>ROUND(B7,0)</f>
        <v>399</v>
      </c>
      <c r="C8" s="75">
        <f t="shared" ref="C8:H8" si="2">ROUND(C7,0)</f>
        <v>439</v>
      </c>
      <c r="D8" s="75">
        <f t="shared" si="2"/>
        <v>479</v>
      </c>
      <c r="E8" s="75">
        <f t="shared" si="2"/>
        <v>519</v>
      </c>
      <c r="F8" s="75">
        <f t="shared" si="2"/>
        <v>559</v>
      </c>
      <c r="G8" s="75">
        <f t="shared" si="2"/>
        <v>599</v>
      </c>
      <c r="H8" s="75">
        <f t="shared" si="2"/>
        <v>639</v>
      </c>
    </row>
    <row r="9" spans="1:8" ht="30" x14ac:dyDescent="0.25">
      <c r="A9" s="74" t="s">
        <v>490</v>
      </c>
      <c r="B9" s="76">
        <f>'Benefit-FPO-Producer'!D13</f>
        <v>97.569929896907269</v>
      </c>
      <c r="C9" s="76">
        <f>'Benefit-FPO-Producer'!E13</f>
        <v>136.75692178537949</v>
      </c>
      <c r="D9" s="76">
        <f>'Benefit-FPO-Producer'!F13</f>
        <v>143.49975446069578</v>
      </c>
      <c r="E9" s="76">
        <f>'Benefit-FPO-Producer'!G13</f>
        <v>163.66637729330898</v>
      </c>
      <c r="F9" s="76">
        <f>'Benefit-FPO-Producer'!H13</f>
        <v>182.55947744492323</v>
      </c>
      <c r="G9" s="76">
        <f>'Benefit-FPO-Producer'!I13</f>
        <v>205.79862380324121</v>
      </c>
      <c r="H9" s="76">
        <f>'Benefit-FPO-Producer'!J13</f>
        <v>227.8949574969408</v>
      </c>
    </row>
    <row r="10" spans="1:8" ht="30.75" customHeight="1" x14ac:dyDescent="0.25">
      <c r="A10" s="71" t="s">
        <v>476</v>
      </c>
      <c r="B10" s="77">
        <f>B9*B4/100000</f>
        <v>4.7321416000000029</v>
      </c>
      <c r="C10" s="77">
        <f t="shared" ref="C10:H10" si="3">C9*C4/100000</f>
        <v>7.2959817772499962</v>
      </c>
      <c r="D10" s="77">
        <f t="shared" si="3"/>
        <v>8.3516857096124966</v>
      </c>
      <c r="E10" s="77">
        <f t="shared" si="3"/>
        <v>10.319165088343132</v>
      </c>
      <c r="F10" s="77">
        <f t="shared" si="3"/>
        <v>12.39578851851029</v>
      </c>
      <c r="G10" s="77">
        <f t="shared" si="3"/>
        <v>14.971849881685802</v>
      </c>
      <c r="H10" s="77">
        <f t="shared" si="3"/>
        <v>17.684648701762612</v>
      </c>
    </row>
    <row r="11" spans="1:8" x14ac:dyDescent="0.25">
      <c r="A11" s="38"/>
      <c r="B11" s="19"/>
      <c r="C11" s="19"/>
      <c r="D11" s="19"/>
      <c r="E11" s="19"/>
      <c r="F11" s="19"/>
      <c r="G11" s="19"/>
      <c r="H11" s="19"/>
    </row>
    <row r="12" spans="1:8" x14ac:dyDescent="0.25">
      <c r="A12" s="78" t="s">
        <v>483</v>
      </c>
      <c r="B12" s="79">
        <f>'Benefit-FPO-Producer'!D12</f>
        <v>146.35489484536089</v>
      </c>
      <c r="C12" s="79">
        <f>'Benefit-FPO-Producer'!E12</f>
        <v>205.13538267806925</v>
      </c>
      <c r="D12" s="79">
        <f>'Benefit-FPO-Producer'!F12</f>
        <v>215.24963169104365</v>
      </c>
      <c r="E12" s="79">
        <f>'Benefit-FPO-Producer'!G12</f>
        <v>245.49956593996347</v>
      </c>
      <c r="F12" s="79">
        <f>'Benefit-FPO-Producer'!H12</f>
        <v>273.83921616738479</v>
      </c>
      <c r="G12" s="79">
        <f>'Benefit-FPO-Producer'!I12</f>
        <v>308.69793570486178</v>
      </c>
      <c r="H12" s="79">
        <f>'Benefit-FPO-Producer'!J12</f>
        <v>341.84243624541119</v>
      </c>
    </row>
    <row r="13" spans="1:8" ht="30" x14ac:dyDescent="0.25">
      <c r="A13" s="80" t="s">
        <v>477</v>
      </c>
      <c r="B13" s="79">
        <f t="shared" ref="B13:H13" si="4">B4*B12/100000</f>
        <v>7.0982124000000031</v>
      </c>
      <c r="C13" s="79">
        <f t="shared" si="4"/>
        <v>10.943972665874995</v>
      </c>
      <c r="D13" s="79">
        <f t="shared" si="4"/>
        <v>12.527528564418743</v>
      </c>
      <c r="E13" s="79">
        <f t="shared" si="4"/>
        <v>15.478747632514699</v>
      </c>
      <c r="F13" s="79">
        <f t="shared" si="4"/>
        <v>18.593682777765434</v>
      </c>
      <c r="G13" s="79">
        <f t="shared" si="4"/>
        <v>22.457774822528702</v>
      </c>
      <c r="H13" s="79">
        <f t="shared" si="4"/>
        <v>26.526973052643921</v>
      </c>
    </row>
    <row r="14" spans="1:8" x14ac:dyDescent="0.25">
      <c r="A14" s="8"/>
      <c r="B14" s="24"/>
      <c r="C14" s="24"/>
      <c r="D14" s="24"/>
      <c r="E14" s="4"/>
      <c r="F14" s="4"/>
      <c r="G14" s="4"/>
      <c r="H14" s="4"/>
    </row>
    <row r="15" spans="1:8" x14ac:dyDescent="0.25">
      <c r="A15" s="81"/>
      <c r="B15" s="82"/>
      <c r="C15" s="82"/>
      <c r="D15" s="82"/>
      <c r="E15" s="82"/>
      <c r="F15" s="82"/>
      <c r="G15" s="82"/>
      <c r="H15" s="82"/>
    </row>
    <row r="16" spans="1:8" ht="30" x14ac:dyDescent="0.25">
      <c r="A16" s="81" t="s">
        <v>484</v>
      </c>
      <c r="B16" s="82">
        <f>B13+B10</f>
        <v>11.830354000000007</v>
      </c>
      <c r="C16" s="82">
        <f t="shared" ref="C16:H16" si="5">C13+C10</f>
        <v>18.23995444312499</v>
      </c>
      <c r="D16" s="82">
        <f t="shared" si="5"/>
        <v>20.879214274031241</v>
      </c>
      <c r="E16" s="82">
        <f t="shared" si="5"/>
        <v>25.79791272085783</v>
      </c>
      <c r="F16" s="82">
        <f t="shared" si="5"/>
        <v>30.989471296275724</v>
      </c>
      <c r="G16" s="82">
        <f t="shared" si="5"/>
        <v>37.429624704214504</v>
      </c>
      <c r="H16" s="82">
        <f t="shared" si="5"/>
        <v>44.211621754406536</v>
      </c>
    </row>
    <row r="17" spans="1:8" x14ac:dyDescent="0.25">
      <c r="A17" s="83" t="s">
        <v>478</v>
      </c>
      <c r="B17" s="20">
        <f>1/1.09</f>
        <v>0.9174311926605504</v>
      </c>
      <c r="C17" s="20">
        <f>B17/1.09</f>
        <v>0.84167999326655996</v>
      </c>
      <c r="D17" s="20">
        <f t="shared" ref="D17:H17" si="6">C17/1.09</f>
        <v>0.77218348006106408</v>
      </c>
      <c r="E17" s="20">
        <f t="shared" si="6"/>
        <v>0.7084252110651964</v>
      </c>
      <c r="F17" s="20">
        <f t="shared" si="6"/>
        <v>0.64993138629834524</v>
      </c>
      <c r="G17" s="20">
        <f t="shared" si="6"/>
        <v>0.5962673268792158</v>
      </c>
      <c r="H17" s="20">
        <f t="shared" si="6"/>
        <v>0.5470342448433172</v>
      </c>
    </row>
    <row r="18" spans="1:8" x14ac:dyDescent="0.25">
      <c r="A18" s="18" t="s">
        <v>479</v>
      </c>
      <c r="B18" s="24">
        <f>B16*B17</f>
        <v>10.85353577981652</v>
      </c>
      <c r="C18" s="24">
        <f t="shared" ref="C18:H18" si="7">C16*C17</f>
        <v>15.352204732871803</v>
      </c>
      <c r="D18" s="24">
        <f t="shared" si="7"/>
        <v>16.122584339062087</v>
      </c>
      <c r="E18" s="24">
        <f t="shared" si="7"/>
        <v>18.275891764315222</v>
      </c>
      <c r="F18" s="24">
        <f t="shared" si="7"/>
        <v>20.141030040241258</v>
      </c>
      <c r="G18" s="24">
        <f t="shared" si="7"/>
        <v>22.31806226847424</v>
      </c>
      <c r="H18" s="24">
        <f t="shared" si="7"/>
        <v>24.185271119720156</v>
      </c>
    </row>
    <row r="19" spans="1:8" s="2" customFormat="1" ht="30" x14ac:dyDescent="0.25">
      <c r="A19" s="81" t="s">
        <v>480</v>
      </c>
      <c r="B19" s="9">
        <f>SUM(B18:H18)</f>
        <v>127.24858004450128</v>
      </c>
      <c r="C19" s="6"/>
      <c r="D19" s="6"/>
      <c r="E19" s="6"/>
      <c r="F19" s="6"/>
      <c r="G19" s="6"/>
      <c r="H19" s="6"/>
    </row>
    <row r="20" spans="1:8" x14ac:dyDescent="0.25">
      <c r="A20" s="8" t="s">
        <v>481</v>
      </c>
      <c r="B20" s="24">
        <f>'BEP &amp; DSCR'!B20</f>
        <v>207.80393333333336</v>
      </c>
      <c r="C20" s="4"/>
      <c r="D20" s="4"/>
      <c r="E20" s="4"/>
      <c r="F20" s="4"/>
      <c r="G20" s="4"/>
      <c r="H20" s="4"/>
    </row>
    <row r="21" spans="1:8" ht="33.75" customHeight="1" x14ac:dyDescent="0.25">
      <c r="A21" s="71" t="s">
        <v>486</v>
      </c>
      <c r="B21" s="69">
        <f>B19-B20</f>
        <v>-80.55535328883208</v>
      </c>
      <c r="C21" s="4"/>
      <c r="D21" s="4"/>
      <c r="E21" s="4"/>
      <c r="F21" s="4"/>
      <c r="G21" s="4"/>
      <c r="H21" s="4"/>
    </row>
    <row r="22" spans="1:8" x14ac:dyDescent="0.25">
      <c r="A22" s="71" t="s">
        <v>482</v>
      </c>
      <c r="B22" s="85">
        <f>IRR(A24:H24)</f>
        <v>-1.9146422837955535E-2</v>
      </c>
      <c r="C22" s="4"/>
      <c r="D22" s="4"/>
      <c r="E22" s="4"/>
      <c r="F22" s="4"/>
      <c r="G22" s="4"/>
      <c r="H22" s="4"/>
    </row>
    <row r="24" spans="1:8" x14ac:dyDescent="0.25">
      <c r="A24" s="84">
        <f>-B20</f>
        <v>-207.80393333333336</v>
      </c>
      <c r="B24" s="17">
        <f>B16</f>
        <v>11.830354000000007</v>
      </c>
      <c r="C24" s="17">
        <f t="shared" ref="C24:H24" si="8">C16</f>
        <v>18.23995444312499</v>
      </c>
      <c r="D24" s="17">
        <f t="shared" si="8"/>
        <v>20.879214274031241</v>
      </c>
      <c r="E24" s="17">
        <f t="shared" si="8"/>
        <v>25.79791272085783</v>
      </c>
      <c r="F24" s="17">
        <f t="shared" si="8"/>
        <v>30.989471296275724</v>
      </c>
      <c r="G24" s="17">
        <f t="shared" si="8"/>
        <v>37.429624704214504</v>
      </c>
      <c r="H24" s="17">
        <f t="shared" si="8"/>
        <v>44.211621754406536</v>
      </c>
    </row>
    <row r="26" spans="1:8" x14ac:dyDescent="0.25">
      <c r="B26" s="37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96" t="s">
        <v>1</v>
      </c>
      <c r="B1" s="96" t="s">
        <v>197</v>
      </c>
      <c r="C1" s="96" t="s">
        <v>210</v>
      </c>
      <c r="D1" s="96" t="s">
        <v>223</v>
      </c>
      <c r="E1" s="96" t="s">
        <v>236</v>
      </c>
      <c r="F1" s="96" t="s">
        <v>249</v>
      </c>
      <c r="G1" s="96" t="s">
        <v>262</v>
      </c>
    </row>
    <row r="2" spans="1:7" x14ac:dyDescent="0.25">
      <c r="A2" s="97" t="s">
        <v>548</v>
      </c>
      <c r="B2" s="98">
        <f>'P&amp;L'!B9</f>
        <v>152.63</v>
      </c>
      <c r="C2" s="98">
        <f>'P&amp;L'!C9</f>
        <v>180.69059999999999</v>
      </c>
      <c r="D2" s="98">
        <f>'P&amp;L'!D9</f>
        <v>207.98859999999999</v>
      </c>
      <c r="E2" s="98">
        <f>'P&amp;L'!E9</f>
        <v>237.74450000000004</v>
      </c>
      <c r="F2" s="98">
        <f>'P&amp;L'!F9</f>
        <v>268.40039999999999</v>
      </c>
      <c r="G2" s="98">
        <f>'P&amp;L'!G9</f>
        <v>303.50390000000004</v>
      </c>
    </row>
    <row r="3" spans="1:7" x14ac:dyDescent="0.25">
      <c r="A3" s="97" t="s">
        <v>554</v>
      </c>
      <c r="B3" s="98">
        <f>'P&amp;L'!B14-'P&amp;L'!B9</f>
        <v>4.0800000000000125</v>
      </c>
      <c r="C3" s="98">
        <f>'P&amp;L'!C14-'P&amp;L'!C9</f>
        <v>1.1490000000000009</v>
      </c>
      <c r="D3" s="98">
        <f>'P&amp;L'!D14-'P&amp;L'!D9</f>
        <v>0.60379999999997835</v>
      </c>
      <c r="E3" s="98">
        <f>'P&amp;L'!E14-'P&amp;L'!E9</f>
        <v>0.29160000000001673</v>
      </c>
      <c r="F3" s="98">
        <f>'P&amp;L'!F14-'P&amp;L'!F9</f>
        <v>1.1809000000000083</v>
      </c>
      <c r="G3" s="98">
        <f>'P&amp;L'!G14-'P&amp;L'!G9</f>
        <v>0.88810000000000855</v>
      </c>
    </row>
    <row r="4" spans="1:7" x14ac:dyDescent="0.25">
      <c r="A4" s="97" t="s">
        <v>549</v>
      </c>
      <c r="B4" s="99">
        <f>'P&amp;L'!B21+'P&amp;L'!B23+'P&amp;L'!B25-'Opex Schedule'!C18</f>
        <v>125.54320000000001</v>
      </c>
      <c r="C4" s="99">
        <f>'P&amp;L'!C21+'P&amp;L'!C23+'P&amp;L'!C25-'Opex Schedule'!D18</f>
        <v>143.29863</v>
      </c>
      <c r="D4" s="99">
        <f>'P&amp;L'!D21+'P&amp;L'!D23+'P&amp;L'!D25-'Opex Schedule'!E18</f>
        <v>162.61099649999997</v>
      </c>
      <c r="E4" s="99">
        <f>'P&amp;L'!E21+'P&amp;L'!E23+'P&amp;L'!E25-'Opex Schedule'!F18</f>
        <v>183.43023132500002</v>
      </c>
      <c r="F4" s="99">
        <f>'P&amp;L'!F21+'P&amp;L'!F23+'P&amp;L'!F25-'Opex Schedule'!G18</f>
        <v>206.00633789124998</v>
      </c>
      <c r="G4" s="99">
        <f>'P&amp;L'!G21+'P&amp;L'!G23+'P&amp;L'!G25-'Opex Schedule'!H18</f>
        <v>230.16209478581251</v>
      </c>
    </row>
    <row r="5" spans="1:7" x14ac:dyDescent="0.25">
      <c r="A5" s="97" t="s">
        <v>550</v>
      </c>
      <c r="B5" s="99">
        <f>B2-B4</f>
        <v>27.086799999999982</v>
      </c>
      <c r="C5" s="99">
        <f t="shared" ref="C5:G5" si="0">C2-C4</f>
        <v>37.391969999999986</v>
      </c>
      <c r="D5" s="99">
        <f t="shared" si="0"/>
        <v>45.377603500000021</v>
      </c>
      <c r="E5" s="99">
        <f t="shared" si="0"/>
        <v>54.314268675000022</v>
      </c>
      <c r="F5" s="99">
        <f t="shared" si="0"/>
        <v>62.394062108750006</v>
      </c>
      <c r="G5" s="99">
        <f t="shared" si="0"/>
        <v>73.341805214187531</v>
      </c>
    </row>
    <row r="6" spans="1:7" x14ac:dyDescent="0.25">
      <c r="A6" s="97" t="s">
        <v>551</v>
      </c>
      <c r="B6" s="98">
        <f>'P&amp;L'!B29+'P&amp;L'!B27</f>
        <v>22.922800000000009</v>
      </c>
      <c r="C6" s="98">
        <f>'P&amp;L'!C29+'P&amp;L'!C27</f>
        <v>29.886269999999989</v>
      </c>
      <c r="D6" s="98">
        <f>'P&amp;L'!D29+'P&amp;L'!D27</f>
        <v>36.895468499999986</v>
      </c>
      <c r="E6" s="98">
        <f>'P&amp;L'!E29+'P&amp;L'!E27</f>
        <v>45.067136925000028</v>
      </c>
      <c r="F6" s="98">
        <f>'P&amp;L'!F29+'P&amp;L'!F27</f>
        <v>53.560793771250033</v>
      </c>
      <c r="G6" s="98">
        <f>'P&amp;L'!G29+'P&amp;L'!G27</f>
        <v>63.71652845981253</v>
      </c>
    </row>
    <row r="7" spans="1:7" x14ac:dyDescent="0.25">
      <c r="A7" s="97" t="s">
        <v>552</v>
      </c>
      <c r="B7" s="98">
        <f>'P&amp;L'!B34</f>
        <v>11.830354000000007</v>
      </c>
      <c r="C7" s="98">
        <f>'P&amp;L'!C34</f>
        <v>18.59644291874999</v>
      </c>
      <c r="D7" s="98">
        <f>'P&amp;L'!D34</f>
        <v>25.461963177187481</v>
      </c>
      <c r="E7" s="98">
        <f>'P&amp;L'!E34</f>
        <v>33.529473654796902</v>
      </c>
      <c r="F7" s="98">
        <f>'P&amp;L'!F34</f>
        <v>41.846664368786747</v>
      </c>
      <c r="G7" s="98">
        <f>'P&amp;L'!G34</f>
        <v>51.826860049726079</v>
      </c>
    </row>
    <row r="8" spans="1:7" x14ac:dyDescent="0.25">
      <c r="A8" s="97" t="s">
        <v>553</v>
      </c>
      <c r="B8" s="98">
        <f>'P&amp;L'!B36</f>
        <v>11.830354000000007</v>
      </c>
      <c r="C8" s="98">
        <f>'P&amp;L'!C36</f>
        <v>18.23995444312499</v>
      </c>
      <c r="D8" s="98">
        <f>'P&amp;L'!D36</f>
        <v>20.879214274031238</v>
      </c>
      <c r="E8" s="98">
        <f>'P&amp;L'!E36</f>
        <v>25.79791272085783</v>
      </c>
      <c r="F8" s="98">
        <f>'P&amp;L'!F36</f>
        <v>30.989471296275724</v>
      </c>
      <c r="G8" s="98">
        <f>'P&amp;L'!G36</f>
        <v>37.429624704214504</v>
      </c>
    </row>
    <row r="12" spans="1:7" x14ac:dyDescent="0.25">
      <c r="C12" s="16"/>
    </row>
    <row r="14" spans="1:7" x14ac:dyDescent="0.25">
      <c r="C14" s="16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topLeftCell="A52" zoomScale="60" zoomScaleNormal="100" workbookViewId="0">
      <selection activeCell="A2" sqref="A2:K52"/>
    </sheetView>
  </sheetViews>
  <sheetFormatPr defaultRowHeight="14.25" x14ac:dyDescent="0.2"/>
  <cols>
    <col min="1" max="1" width="36" style="133" customWidth="1"/>
    <col min="2" max="2" width="10.5703125" style="133" customWidth="1"/>
    <col min="3" max="6" width="9.7109375" style="133" bestFit="1" customWidth="1"/>
    <col min="7" max="16384" width="9.140625" style="133"/>
  </cols>
  <sheetData>
    <row r="1" spans="1:11" x14ac:dyDescent="0.2">
      <c r="A1" s="411" t="s">
        <v>561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x14ac:dyDescent="0.2">
      <c r="A2" s="143" t="s">
        <v>562</v>
      </c>
      <c r="B2" s="143" t="s">
        <v>563</v>
      </c>
      <c r="C2" s="143" t="s">
        <v>564</v>
      </c>
      <c r="D2" s="143" t="s">
        <v>565</v>
      </c>
      <c r="E2" s="143" t="s">
        <v>566</v>
      </c>
      <c r="F2" s="143" t="s">
        <v>567</v>
      </c>
      <c r="G2" s="143" t="s">
        <v>576</v>
      </c>
      <c r="H2" s="143" t="s">
        <v>577</v>
      </c>
      <c r="I2" s="143" t="s">
        <v>578</v>
      </c>
      <c r="J2" s="143" t="s">
        <v>579</v>
      </c>
      <c r="K2" s="143" t="s">
        <v>580</v>
      </c>
    </row>
    <row r="3" spans="1:11" x14ac:dyDescent="0.2">
      <c r="A3" s="144" t="str">
        <f>'P&amp;L'!A5</f>
        <v xml:space="preserve">Revenue from Sale </v>
      </c>
      <c r="B3" s="145">
        <f>+'P&amp;L'!B5*1.1</f>
        <v>104.33500000000001</v>
      </c>
      <c r="C3" s="145">
        <f>+'P&amp;L'!C5*1.1</f>
        <v>124.80930000000001</v>
      </c>
      <c r="D3" s="145">
        <f>+'P&amp;L'!D5*1.1</f>
        <v>143.46925999999999</v>
      </c>
      <c r="E3" s="145">
        <f>+'P&amp;L'!E5*1.1</f>
        <v>163.79704000000004</v>
      </c>
      <c r="F3" s="145">
        <f>+'P&amp;L'!F5*1.1</f>
        <v>183.90152</v>
      </c>
      <c r="G3" s="145">
        <f>+'P&amp;L'!G5*1.1</f>
        <v>207.76954000000003</v>
      </c>
      <c r="H3" s="145">
        <f>+'P&amp;L'!H5*1.1</f>
        <v>232.39524000000006</v>
      </c>
      <c r="I3" s="145">
        <f>+'P&amp;L'!I5*1.1</f>
        <v>259.70956000000001</v>
      </c>
      <c r="J3" s="145">
        <f>+'P&amp;L'!J5*1.1</f>
        <v>288.34938</v>
      </c>
      <c r="K3" s="145">
        <f>+'P&amp;L'!K5*1.1</f>
        <v>320.04169999999999</v>
      </c>
    </row>
    <row r="4" spans="1:11" x14ac:dyDescent="0.2">
      <c r="A4" s="144" t="str">
        <f>'P&amp;L'!A6</f>
        <v>Revenue- Service Charges - Rice Milling</v>
      </c>
      <c r="B4" s="145">
        <f>+'P&amp;L'!B6*1.1</f>
        <v>59.400000000000006</v>
      </c>
      <c r="C4" s="145">
        <f>+'P&amp;L'!C6</f>
        <v>62.37</v>
      </c>
      <c r="D4" s="145">
        <f>+'P&amp;L'!D6</f>
        <v>71.442000000000007</v>
      </c>
      <c r="E4" s="145">
        <f>+'P&amp;L'!E6</f>
        <v>81.256500000000003</v>
      </c>
      <c r="F4" s="145">
        <f>+'P&amp;L'!F6</f>
        <v>91.854000000000013</v>
      </c>
      <c r="G4" s="145">
        <f>+'P&amp;L'!G6</f>
        <v>103.34250000000002</v>
      </c>
      <c r="H4" s="145">
        <f>+'P&amp;L'!H6</f>
        <v>115.77600000000004</v>
      </c>
      <c r="I4" s="145">
        <f>+'P&amp;L'!I6</f>
        <v>129.13200000000003</v>
      </c>
      <c r="J4" s="145">
        <f>+'P&amp;L'!J6</f>
        <v>143.53200000000007</v>
      </c>
      <c r="K4" s="145">
        <f>+'P&amp;L'!K6*1.1</f>
        <v>175.02705000000012</v>
      </c>
    </row>
    <row r="5" spans="1:11" x14ac:dyDescent="0.2">
      <c r="A5" s="144" t="str">
        <f>'P&amp;L'!A8</f>
        <v>Revenue from Weigh Bridge operation</v>
      </c>
      <c r="B5" s="145">
        <f>+'P&amp;L'!B8</f>
        <v>3.7800000000000002</v>
      </c>
      <c r="C5" s="145">
        <f>+'P&amp;L'!C8</f>
        <v>4.8575999999999997</v>
      </c>
      <c r="D5" s="145">
        <f>+'P&amp;L'!D8</f>
        <v>6.12</v>
      </c>
      <c r="E5" s="145">
        <f>+'P&amp;L'!E8</f>
        <v>7.5815999999999999</v>
      </c>
      <c r="F5" s="145">
        <f>+'P&amp;L'!F8</f>
        <v>9.3631999999999991</v>
      </c>
      <c r="G5" s="145">
        <f>+'P&amp;L'!G8</f>
        <v>11.280000000000001</v>
      </c>
      <c r="H5" s="145">
        <f>+'P&amp;L'!H8</f>
        <v>13.440000000000001</v>
      </c>
      <c r="I5" s="145">
        <f>+'P&amp;L'!I8</f>
        <v>15.857600000000001</v>
      </c>
      <c r="J5" s="145">
        <f>+'P&amp;L'!J8</f>
        <v>18.712800000000001</v>
      </c>
      <c r="K5" s="145">
        <f>+'P&amp;L'!K8</f>
        <v>21.705599999999997</v>
      </c>
    </row>
    <row r="6" spans="1:11" x14ac:dyDescent="0.2">
      <c r="A6" s="144" t="s">
        <v>582</v>
      </c>
      <c r="B6" s="146">
        <f>+'P&amp;L'!B12-'P&amp;L'!B11</f>
        <v>4.08</v>
      </c>
      <c r="C6" s="146">
        <f>+'P&amp;L'!C12-'P&amp;L'!C11</f>
        <v>1.149</v>
      </c>
      <c r="D6" s="146">
        <f>+'P&amp;L'!D12-'P&amp;L'!D11</f>
        <v>0.60379999999999967</v>
      </c>
      <c r="E6" s="146">
        <f>+'P&amp;L'!E12-'P&amp;L'!E11</f>
        <v>0.29159999999999986</v>
      </c>
      <c r="F6" s="146">
        <f>+'P&amp;L'!F12-'P&amp;L'!F11</f>
        <v>1.1809000000000012</v>
      </c>
      <c r="G6" s="146">
        <f>+'P&amp;L'!G12-'P&amp;L'!G11</f>
        <v>0.88809999999999967</v>
      </c>
      <c r="H6" s="146">
        <f>+'P&amp;L'!H12-'P&amp;L'!H11</f>
        <v>0.93219999999999992</v>
      </c>
      <c r="I6" s="146">
        <f>+'P&amp;L'!I12-'P&amp;L'!I11</f>
        <v>1.341999999999997</v>
      </c>
      <c r="J6" s="146">
        <f>+'P&amp;L'!J12-'P&amp;L'!J11</f>
        <v>0.92249999999999943</v>
      </c>
      <c r="K6" s="146">
        <f>+'P&amp;L'!K12-'P&amp;L'!K11</f>
        <v>1.0190000000000055</v>
      </c>
    </row>
    <row r="7" spans="1:11" x14ac:dyDescent="0.2">
      <c r="A7" s="143" t="s">
        <v>568</v>
      </c>
      <c r="B7" s="147">
        <f>SUM(B3:B6)</f>
        <v>171.59500000000003</v>
      </c>
      <c r="C7" s="147">
        <f>SUM(C3:C6)</f>
        <v>193.1859</v>
      </c>
      <c r="D7" s="147">
        <f>SUM(D3:D6)</f>
        <v>221.63506000000001</v>
      </c>
      <c r="E7" s="147">
        <f>SUM(E3:E6)</f>
        <v>252.92674000000005</v>
      </c>
      <c r="F7" s="147">
        <f>SUM(F3:F6)</f>
        <v>286.29962000000006</v>
      </c>
      <c r="G7" s="147">
        <f t="shared" ref="G7:K7" si="0">SUM(G3:G6)</f>
        <v>323.28014000000007</v>
      </c>
      <c r="H7" s="147">
        <f t="shared" si="0"/>
        <v>362.54344000000015</v>
      </c>
      <c r="I7" s="147">
        <f t="shared" si="0"/>
        <v>406.04116000000005</v>
      </c>
      <c r="J7" s="147">
        <f t="shared" si="0"/>
        <v>451.51668000000006</v>
      </c>
      <c r="K7" s="147">
        <f t="shared" si="0"/>
        <v>517.79335000000015</v>
      </c>
    </row>
    <row r="8" spans="1:11" x14ac:dyDescent="0.2">
      <c r="A8" s="143" t="s">
        <v>569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1" x14ac:dyDescent="0.2">
      <c r="A9" s="148" t="s">
        <v>581</v>
      </c>
      <c r="B9" s="252">
        <f>+'P&amp;L'!B21*1.1</f>
        <v>111.10000000000001</v>
      </c>
      <c r="C9" s="146">
        <f>+'P&amp;L'!C21*1.1</f>
        <v>128.08785</v>
      </c>
      <c r="D9" s="146">
        <f>+'P&amp;L'!D21*1.1</f>
        <v>146.73263</v>
      </c>
      <c r="E9" s="146">
        <f>+'P&amp;L'!E21*1.1</f>
        <v>166.91169000000005</v>
      </c>
      <c r="F9" s="146">
        <f>+'P&amp;L'!F21*1.1</f>
        <v>188.74965999999998</v>
      </c>
      <c r="G9" s="146">
        <f>+'P&amp;L'!G21*1.1</f>
        <v>212.37370000000001</v>
      </c>
      <c r="H9" s="146">
        <f>+'P&amp;L'!H21*1.1</f>
        <v>237.84805000000003</v>
      </c>
      <c r="I9" s="146">
        <f>+'P&amp;L'!I21*1.1</f>
        <v>265.32044000000002</v>
      </c>
      <c r="J9" s="146">
        <f>+'P&amp;L'!J21*1.1</f>
        <v>294.98018000000008</v>
      </c>
      <c r="K9" s="146">
        <f>+'P&amp;L'!K21*1.1</f>
        <v>326.92824999999999</v>
      </c>
    </row>
    <row r="10" spans="1:11" x14ac:dyDescent="0.2">
      <c r="A10" s="144" t="s">
        <v>570</v>
      </c>
      <c r="B10" s="146">
        <f>+'P&amp;L'!B23</f>
        <v>19.698599999999999</v>
      </c>
      <c r="C10" s="146">
        <f>+'P&amp;L'!C23</f>
        <v>20.682030000000001</v>
      </c>
      <c r="D10" s="146">
        <f>+'P&amp;L'!D23</f>
        <v>21.714631500000003</v>
      </c>
      <c r="E10" s="146">
        <f>+'P&amp;L'!E23</f>
        <v>22.798863075000007</v>
      </c>
      <c r="F10" s="146">
        <f>+'P&amp;L'!F23</f>
        <v>23.937306228750007</v>
      </c>
      <c r="G10" s="146">
        <f>+'P&amp;L'!G23</f>
        <v>25.132671540187509</v>
      </c>
      <c r="H10" s="146">
        <f>+'P&amp;L'!H23</f>
        <v>26.387805117196883</v>
      </c>
      <c r="I10" s="146">
        <f>+'P&amp;L'!I23</f>
        <v>27.705695373056734</v>
      </c>
      <c r="J10" s="146">
        <f>+'P&amp;L'!J23</f>
        <v>29.089480141709572</v>
      </c>
      <c r="K10" s="146">
        <f>+'P&amp;L'!K23</f>
        <v>30.542454148795052</v>
      </c>
    </row>
    <row r="11" spans="1:11" x14ac:dyDescent="0.2">
      <c r="A11" s="144" t="s">
        <v>335</v>
      </c>
      <c r="B11" s="146">
        <f>+'P&amp;L'!B25</f>
        <v>13.088600000000001</v>
      </c>
      <c r="C11" s="146">
        <f>+'P&amp;L'!C25</f>
        <v>14.827800000000002</v>
      </c>
      <c r="D11" s="146">
        <f>+'P&amp;L'!D25</f>
        <v>16.588999999999999</v>
      </c>
      <c r="E11" s="146">
        <f>+'P&amp;L'!E25</f>
        <v>18.432199999999998</v>
      </c>
      <c r="F11" s="146">
        <f>+'P&amp;L'!F25</f>
        <v>20.492599999999999</v>
      </c>
      <c r="G11" s="146">
        <f>+'P&amp;L'!G25</f>
        <v>22.4758</v>
      </c>
      <c r="H11" s="146">
        <f>+'P&amp;L'!H25</f>
        <v>24.536000000000001</v>
      </c>
      <c r="I11" s="146">
        <f>+'P&amp;L'!I25</f>
        <v>26.0242</v>
      </c>
      <c r="J11" s="146">
        <f>+'P&amp;L'!J25</f>
        <v>27.674599999999995</v>
      </c>
      <c r="K11" s="146">
        <f>+'P&amp;L'!K25</f>
        <v>29.157800000000002</v>
      </c>
    </row>
    <row r="12" spans="1:11" x14ac:dyDescent="0.2">
      <c r="A12" s="143" t="s">
        <v>571</v>
      </c>
      <c r="B12" s="147">
        <f>SUM(B9:B11)</f>
        <v>143.88720000000004</v>
      </c>
      <c r="C12" s="147">
        <f t="shared" ref="C12:K12" si="1">SUM(C9:C11)</f>
        <v>163.59768</v>
      </c>
      <c r="D12" s="147">
        <f t="shared" si="1"/>
        <v>185.03626149999999</v>
      </c>
      <c r="E12" s="147">
        <f t="shared" si="1"/>
        <v>208.14275307500006</v>
      </c>
      <c r="F12" s="147">
        <f t="shared" si="1"/>
        <v>233.17956622874999</v>
      </c>
      <c r="G12" s="147">
        <f t="shared" si="1"/>
        <v>259.98217154018755</v>
      </c>
      <c r="H12" s="147">
        <f t="shared" si="1"/>
        <v>288.77185511719694</v>
      </c>
      <c r="I12" s="147">
        <f t="shared" si="1"/>
        <v>319.05033537305678</v>
      </c>
      <c r="J12" s="147">
        <f t="shared" si="1"/>
        <v>351.74426014170962</v>
      </c>
      <c r="K12" s="147">
        <f t="shared" si="1"/>
        <v>386.62850414879506</v>
      </c>
    </row>
    <row r="13" spans="1:11" x14ac:dyDescent="0.2">
      <c r="A13" s="149" t="s">
        <v>572</v>
      </c>
      <c r="B13" s="150">
        <f>B7-B12</f>
        <v>27.707799999999992</v>
      </c>
      <c r="C13" s="150">
        <f>C7-C12</f>
        <v>29.588220000000007</v>
      </c>
      <c r="D13" s="150">
        <f>D7-D12</f>
        <v>36.598798500000015</v>
      </c>
      <c r="E13" s="150">
        <f>E7-E12</f>
        <v>44.783986924999994</v>
      </c>
      <c r="F13" s="150">
        <f>F7-F12</f>
        <v>53.12005377125007</v>
      </c>
      <c r="G13" s="150">
        <f t="shared" ref="G13:K13" si="2">G7-G12</f>
        <v>63.297968459812523</v>
      </c>
      <c r="H13" s="150">
        <f t="shared" si="2"/>
        <v>73.771584882803211</v>
      </c>
      <c r="I13" s="150">
        <f t="shared" si="2"/>
        <v>86.990824626943265</v>
      </c>
      <c r="J13" s="150">
        <f t="shared" si="2"/>
        <v>99.772419858290448</v>
      </c>
      <c r="K13" s="150">
        <f t="shared" si="2"/>
        <v>131.16484585120509</v>
      </c>
    </row>
    <row r="14" spans="1:11" x14ac:dyDescent="0.2">
      <c r="A14" s="151"/>
      <c r="B14" s="152"/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x14ac:dyDescent="0.2">
      <c r="A15" s="143" t="s">
        <v>573</v>
      </c>
      <c r="B15" s="143" t="s">
        <v>563</v>
      </c>
      <c r="C15" s="143" t="s">
        <v>564</v>
      </c>
      <c r="D15" s="143" t="s">
        <v>565</v>
      </c>
      <c r="E15" s="143" t="s">
        <v>566</v>
      </c>
      <c r="F15" s="143" t="s">
        <v>567</v>
      </c>
      <c r="G15" s="143" t="s">
        <v>576</v>
      </c>
      <c r="H15" s="143" t="s">
        <v>577</v>
      </c>
      <c r="I15" s="143" t="s">
        <v>578</v>
      </c>
      <c r="J15" s="143" t="s">
        <v>579</v>
      </c>
      <c r="K15" s="143" t="s">
        <v>580</v>
      </c>
    </row>
    <row r="16" spans="1:11" x14ac:dyDescent="0.2">
      <c r="A16" s="144" t="str">
        <f>+A3</f>
        <v xml:space="preserve">Revenue from Sale </v>
      </c>
      <c r="B16" s="146">
        <f>+'P&amp;L'!B5</f>
        <v>94.85</v>
      </c>
      <c r="C16" s="146">
        <f>+'P&amp;L'!C5</f>
        <v>113.46299999999999</v>
      </c>
      <c r="D16" s="146">
        <f>+'P&amp;L'!D5</f>
        <v>130.42659999999998</v>
      </c>
      <c r="E16" s="146">
        <f>+'P&amp;L'!E5</f>
        <v>148.90640000000002</v>
      </c>
      <c r="F16" s="146">
        <f>+'P&amp;L'!F5</f>
        <v>167.1832</v>
      </c>
      <c r="G16" s="146">
        <f>+'P&amp;L'!G5</f>
        <v>188.88140000000001</v>
      </c>
      <c r="H16" s="146">
        <f>+'P&amp;L'!H5</f>
        <v>211.26840000000004</v>
      </c>
      <c r="I16" s="146">
        <f>+'P&amp;L'!I5</f>
        <v>236.09960000000001</v>
      </c>
      <c r="J16" s="146">
        <f>+'P&amp;L'!J5</f>
        <v>262.13579999999996</v>
      </c>
      <c r="K16" s="146">
        <f>+'P&amp;L'!K5</f>
        <v>290.94699999999995</v>
      </c>
    </row>
    <row r="17" spans="1:11" x14ac:dyDescent="0.2">
      <c r="A17" s="144" t="str">
        <f>+A4</f>
        <v>Revenue- Service Charges - Rice Milling</v>
      </c>
      <c r="B17" s="146">
        <f>+'P&amp;L'!B6</f>
        <v>54</v>
      </c>
      <c r="C17" s="146">
        <f>+'P&amp;L'!C6</f>
        <v>62.37</v>
      </c>
      <c r="D17" s="146">
        <f>+'P&amp;L'!D6</f>
        <v>71.442000000000007</v>
      </c>
      <c r="E17" s="146">
        <f>+'P&amp;L'!E6</f>
        <v>81.256500000000003</v>
      </c>
      <c r="F17" s="146">
        <f>+'P&amp;L'!F6</f>
        <v>91.854000000000013</v>
      </c>
      <c r="G17" s="146">
        <f>+'P&amp;L'!G6</f>
        <v>103.34250000000002</v>
      </c>
      <c r="H17" s="146">
        <f>+'P&amp;L'!H6</f>
        <v>115.77600000000004</v>
      </c>
      <c r="I17" s="146">
        <f>+'P&amp;L'!I6</f>
        <v>129.13200000000003</v>
      </c>
      <c r="J17" s="146">
        <f>+'P&amp;L'!J6</f>
        <v>143.53200000000007</v>
      </c>
      <c r="K17" s="146">
        <f>+'P&amp;L'!K6</f>
        <v>159.11550000000008</v>
      </c>
    </row>
    <row r="18" spans="1:11" x14ac:dyDescent="0.2">
      <c r="A18" s="144" t="str">
        <f>+A5</f>
        <v>Revenue from Weigh Bridge operation</v>
      </c>
      <c r="B18" s="146">
        <f>+'P&amp;L'!B8</f>
        <v>3.7800000000000002</v>
      </c>
      <c r="C18" s="146">
        <f>+'P&amp;L'!C8</f>
        <v>4.8575999999999997</v>
      </c>
      <c r="D18" s="146">
        <f>+'P&amp;L'!D8</f>
        <v>6.12</v>
      </c>
      <c r="E18" s="146">
        <f>+'P&amp;L'!E8</f>
        <v>7.5815999999999999</v>
      </c>
      <c r="F18" s="146">
        <f>+'P&amp;L'!F8</f>
        <v>9.3631999999999991</v>
      </c>
      <c r="G18" s="146">
        <f>+'P&amp;L'!G8</f>
        <v>11.280000000000001</v>
      </c>
      <c r="H18" s="146">
        <f>+'P&amp;L'!H8</f>
        <v>13.440000000000001</v>
      </c>
      <c r="I18" s="146">
        <f>+'P&amp;L'!I8</f>
        <v>15.857600000000001</v>
      </c>
      <c r="J18" s="146">
        <f>+'P&amp;L'!J8</f>
        <v>18.712800000000001</v>
      </c>
      <c r="K18" s="146">
        <f>+'P&amp;L'!K8</f>
        <v>21.705599999999997</v>
      </c>
    </row>
    <row r="19" spans="1:11" x14ac:dyDescent="0.2">
      <c r="A19" s="144" t="str">
        <f>+A6</f>
        <v>Change in Closing Stock of FG</v>
      </c>
      <c r="B19" s="146">
        <f>+'P&amp;L'!B12-'P&amp;L'!B11</f>
        <v>4.08</v>
      </c>
      <c r="C19" s="146">
        <f>+'P&amp;L'!C12-'P&amp;L'!C11</f>
        <v>1.149</v>
      </c>
      <c r="D19" s="146">
        <f>+'P&amp;L'!D12-'P&amp;L'!D11</f>
        <v>0.60379999999999967</v>
      </c>
      <c r="E19" s="146">
        <f>+'P&amp;L'!E12-'P&amp;L'!E11</f>
        <v>0.29159999999999986</v>
      </c>
      <c r="F19" s="146">
        <f>+'P&amp;L'!F12-'P&amp;L'!F11</f>
        <v>1.1809000000000012</v>
      </c>
      <c r="G19" s="146">
        <f>+'P&amp;L'!G12-'P&amp;L'!G11</f>
        <v>0.88809999999999967</v>
      </c>
      <c r="H19" s="146">
        <f>+'P&amp;L'!H12-'P&amp;L'!H11</f>
        <v>0.93219999999999992</v>
      </c>
      <c r="I19" s="146">
        <f>+'P&amp;L'!I12-'P&amp;L'!I11</f>
        <v>1.341999999999997</v>
      </c>
      <c r="J19" s="146">
        <f>+'P&amp;L'!J12-'P&amp;L'!J11</f>
        <v>0.92249999999999943</v>
      </c>
      <c r="K19" s="146">
        <f>+'P&amp;L'!K12-'P&amp;L'!K11</f>
        <v>1.0190000000000055</v>
      </c>
    </row>
    <row r="20" spans="1:11" x14ac:dyDescent="0.2">
      <c r="A20" s="143" t="s">
        <v>568</v>
      </c>
      <c r="B20" s="147">
        <f>SUM(B16:B19)</f>
        <v>156.71</v>
      </c>
      <c r="C20" s="147">
        <f>SUM(C16:C19)</f>
        <v>181.83959999999999</v>
      </c>
      <c r="D20" s="147">
        <f>SUM(D16:D19)</f>
        <v>208.5924</v>
      </c>
      <c r="E20" s="147">
        <f>SUM(E16:E19)</f>
        <v>238.03610000000003</v>
      </c>
      <c r="F20" s="147">
        <f>SUM(F16:F19)</f>
        <v>269.5813</v>
      </c>
      <c r="G20" s="147">
        <f t="shared" ref="G20:K20" si="3">SUM(G16:G19)</f>
        <v>304.39200000000005</v>
      </c>
      <c r="H20" s="147">
        <f t="shared" si="3"/>
        <v>341.41660000000013</v>
      </c>
      <c r="I20" s="147">
        <f t="shared" si="3"/>
        <v>382.43120000000005</v>
      </c>
      <c r="J20" s="147">
        <f t="shared" si="3"/>
        <v>425.30310000000009</v>
      </c>
      <c r="K20" s="147">
        <f t="shared" si="3"/>
        <v>472.78710000000001</v>
      </c>
    </row>
    <row r="21" spans="1:11" x14ac:dyDescent="0.2">
      <c r="A21" s="143" t="s">
        <v>569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11" x14ac:dyDescent="0.2">
      <c r="A22" s="148" t="s">
        <v>581</v>
      </c>
      <c r="B22" s="146">
        <f>+'P&amp;L'!B21*1.1</f>
        <v>111.10000000000001</v>
      </c>
      <c r="C22" s="146">
        <f>+'P&amp;L'!C21*1.1</f>
        <v>128.08785</v>
      </c>
      <c r="D22" s="146">
        <f>+'P&amp;L'!D21*1.1</f>
        <v>146.73263</v>
      </c>
      <c r="E22" s="146">
        <f>+'P&amp;L'!E21*1.1</f>
        <v>166.91169000000005</v>
      </c>
      <c r="F22" s="146">
        <f>+'P&amp;L'!F21*1.1</f>
        <v>188.74965999999998</v>
      </c>
      <c r="G22" s="146">
        <f>+'P&amp;L'!G21*1.1</f>
        <v>212.37370000000001</v>
      </c>
      <c r="H22" s="146">
        <f>+'P&amp;L'!H21*1.1</f>
        <v>237.84805000000003</v>
      </c>
      <c r="I22" s="146">
        <f>+'P&amp;L'!I21*1.1</f>
        <v>265.32044000000002</v>
      </c>
      <c r="J22" s="146">
        <f>+'P&amp;L'!J21*1.1</f>
        <v>294.98018000000008</v>
      </c>
      <c r="K22" s="146">
        <f>+'P&amp;L'!K21*1.1</f>
        <v>326.92824999999999</v>
      </c>
    </row>
    <row r="23" spans="1:11" x14ac:dyDescent="0.2">
      <c r="A23" s="144" t="s">
        <v>570</v>
      </c>
      <c r="B23" s="146">
        <f>+'P&amp;L'!B23*1.1</f>
        <v>21.66846</v>
      </c>
      <c r="C23" s="146">
        <f>+'P&amp;L'!C23*1.1</f>
        <v>22.750233000000001</v>
      </c>
      <c r="D23" s="146">
        <f>+'P&amp;L'!D23*1.1</f>
        <v>23.886094650000004</v>
      </c>
      <c r="E23" s="146">
        <f>+'P&amp;L'!E23*1.1</f>
        <v>25.078749382500011</v>
      </c>
      <c r="F23" s="146">
        <f>+'P&amp;L'!F23*1.1</f>
        <v>26.331036851625008</v>
      </c>
      <c r="G23" s="146">
        <f>+'P&amp;L'!G23*1.1</f>
        <v>27.645938694206261</v>
      </c>
      <c r="H23" s="146">
        <f>+'P&amp;L'!H23*1.1</f>
        <v>29.026585628916575</v>
      </c>
      <c r="I23" s="146">
        <f>+'P&amp;L'!I23*1.1</f>
        <v>30.47626491036241</v>
      </c>
      <c r="J23" s="146">
        <f>+'P&amp;L'!J23*1.1</f>
        <v>31.998428155880532</v>
      </c>
      <c r="K23" s="146">
        <f>+'P&amp;L'!K23*1.1</f>
        <v>33.596699563674562</v>
      </c>
    </row>
    <row r="24" spans="1:11" x14ac:dyDescent="0.2">
      <c r="A24" s="144" t="s">
        <v>335</v>
      </c>
      <c r="B24" s="146">
        <f>+'P&amp;L'!B25*1.1</f>
        <v>14.397460000000002</v>
      </c>
      <c r="C24" s="146">
        <f>+'P&amp;L'!C25*1.1</f>
        <v>16.310580000000002</v>
      </c>
      <c r="D24" s="146">
        <f>+'P&amp;L'!D25*1.1</f>
        <v>18.247900000000001</v>
      </c>
      <c r="E24" s="146">
        <f>+'P&amp;L'!E25*1.1</f>
        <v>20.27542</v>
      </c>
      <c r="F24" s="146">
        <f>+'P&amp;L'!F25*1.1</f>
        <v>22.54186</v>
      </c>
      <c r="G24" s="146">
        <f>+'P&amp;L'!G25*1.1</f>
        <v>24.723380000000002</v>
      </c>
      <c r="H24" s="146">
        <f>+'P&amp;L'!H25*1.1</f>
        <v>26.989600000000003</v>
      </c>
      <c r="I24" s="146">
        <f>+'P&amp;L'!I25*1.1</f>
        <v>28.626620000000003</v>
      </c>
      <c r="J24" s="146">
        <f>+'P&amp;L'!J25*1.1</f>
        <v>30.442059999999998</v>
      </c>
      <c r="K24" s="146">
        <f>+'P&amp;L'!K25*1.1</f>
        <v>32.073580000000007</v>
      </c>
    </row>
    <row r="25" spans="1:11" x14ac:dyDescent="0.2">
      <c r="A25" s="143" t="s">
        <v>571</v>
      </c>
      <c r="B25" s="147">
        <f>SUM(B22:B24)</f>
        <v>147.16592</v>
      </c>
      <c r="C25" s="147">
        <f t="shared" ref="C25:K25" si="4">SUM(C22:C24)</f>
        <v>167.148663</v>
      </c>
      <c r="D25" s="147">
        <f t="shared" si="4"/>
        <v>188.86662465000001</v>
      </c>
      <c r="E25" s="147">
        <f t="shared" si="4"/>
        <v>212.26585938250005</v>
      </c>
      <c r="F25" s="147">
        <f t="shared" si="4"/>
        <v>237.62255685162501</v>
      </c>
      <c r="G25" s="147">
        <f t="shared" si="4"/>
        <v>264.74301869420628</v>
      </c>
      <c r="H25" s="147">
        <f t="shared" si="4"/>
        <v>293.86423562891662</v>
      </c>
      <c r="I25" s="147">
        <f t="shared" si="4"/>
        <v>324.42332491036245</v>
      </c>
      <c r="J25" s="147">
        <f t="shared" si="4"/>
        <v>357.42066815588055</v>
      </c>
      <c r="K25" s="147">
        <f t="shared" si="4"/>
        <v>392.59852956367456</v>
      </c>
    </row>
    <row r="26" spans="1:11" x14ac:dyDescent="0.2">
      <c r="A26" s="149" t="s">
        <v>572</v>
      </c>
      <c r="B26" s="150">
        <f>B20-B25</f>
        <v>9.5440800000000081</v>
      </c>
      <c r="C26" s="150">
        <f>C20-C25</f>
        <v>14.690936999999991</v>
      </c>
      <c r="D26" s="150">
        <f>D20-D25</f>
        <v>19.725775349999992</v>
      </c>
      <c r="E26" s="150">
        <f>E20-E25</f>
        <v>25.770240617499979</v>
      </c>
      <c r="F26" s="150">
        <f>F20-F25</f>
        <v>31.958743148374992</v>
      </c>
      <c r="G26" s="150">
        <f t="shared" ref="G26:K26" si="5">G20-G25</f>
        <v>39.648981305793768</v>
      </c>
      <c r="H26" s="150">
        <f t="shared" si="5"/>
        <v>47.552364371083513</v>
      </c>
      <c r="I26" s="150">
        <f t="shared" si="5"/>
        <v>58.007875089637594</v>
      </c>
      <c r="J26" s="150">
        <f t="shared" si="5"/>
        <v>67.882431844119537</v>
      </c>
      <c r="K26" s="150">
        <f t="shared" si="5"/>
        <v>80.188570436325449</v>
      </c>
    </row>
    <row r="27" spans="1:11" x14ac:dyDescent="0.2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2"/>
    </row>
    <row r="28" spans="1:11" x14ac:dyDescent="0.2">
      <c r="A28" s="143" t="s">
        <v>574</v>
      </c>
      <c r="B28" s="143" t="s">
        <v>563</v>
      </c>
      <c r="C28" s="143" t="s">
        <v>564</v>
      </c>
      <c r="D28" s="143" t="s">
        <v>565</v>
      </c>
      <c r="E28" s="143" t="s">
        <v>566</v>
      </c>
      <c r="F28" s="143" t="s">
        <v>567</v>
      </c>
      <c r="G28" s="143" t="s">
        <v>576</v>
      </c>
      <c r="H28" s="143" t="s">
        <v>577</v>
      </c>
      <c r="I28" s="143" t="s">
        <v>578</v>
      </c>
      <c r="J28" s="143" t="s">
        <v>579</v>
      </c>
      <c r="K28" s="143" t="s">
        <v>580</v>
      </c>
    </row>
    <row r="29" spans="1:11" x14ac:dyDescent="0.2">
      <c r="A29" s="144" t="str">
        <f>+A16</f>
        <v xml:space="preserve">Revenue from Sale </v>
      </c>
      <c r="B29" s="146">
        <f>+'P&amp;L'!B5*0.9</f>
        <v>85.364999999999995</v>
      </c>
      <c r="C29" s="146">
        <f>+'P&amp;L'!C5*0.9</f>
        <v>102.11669999999999</v>
      </c>
      <c r="D29" s="146">
        <f>+'P&amp;L'!D5*0.9</f>
        <v>117.38393999999998</v>
      </c>
      <c r="E29" s="146">
        <f>+'P&amp;L'!E5*0.9</f>
        <v>134.01576000000003</v>
      </c>
      <c r="F29" s="146">
        <f>+'P&amp;L'!F5*0.9</f>
        <v>150.46487999999999</v>
      </c>
      <c r="G29" s="146">
        <f>+'P&amp;L'!G5*0.9</f>
        <v>169.99326000000002</v>
      </c>
      <c r="H29" s="146">
        <f>+'P&amp;L'!H5*0.9</f>
        <v>190.14156000000006</v>
      </c>
      <c r="I29" s="146">
        <f>+'P&amp;L'!I5*0.9</f>
        <v>212.48964000000001</v>
      </c>
      <c r="J29" s="146">
        <f>+'P&amp;L'!J5*0.9</f>
        <v>235.92221999999998</v>
      </c>
      <c r="K29" s="146">
        <f>+'P&amp;L'!K5*0.9</f>
        <v>261.85229999999996</v>
      </c>
    </row>
    <row r="30" spans="1:11" x14ac:dyDescent="0.2">
      <c r="A30" s="144" t="str">
        <f>+A17</f>
        <v>Revenue- Service Charges - Rice Milling</v>
      </c>
      <c r="B30" s="146">
        <f>+'P&amp;L'!B6*0.9</f>
        <v>48.6</v>
      </c>
      <c r="C30" s="146">
        <f>+'P&amp;L'!C6*0.9</f>
        <v>56.132999999999996</v>
      </c>
      <c r="D30" s="146">
        <f>+'P&amp;L'!D6*0.9</f>
        <v>64.297800000000009</v>
      </c>
      <c r="E30" s="146">
        <f>+'P&amp;L'!E6*0.9</f>
        <v>73.130850000000009</v>
      </c>
      <c r="F30" s="146">
        <f>+'P&amp;L'!F6*0.9</f>
        <v>82.668600000000012</v>
      </c>
      <c r="G30" s="146">
        <f>+'P&amp;L'!G6*0.9</f>
        <v>93.008250000000018</v>
      </c>
      <c r="H30" s="146">
        <f>+'P&amp;L'!H6*0.9</f>
        <v>104.19840000000003</v>
      </c>
      <c r="I30" s="146">
        <f>+'P&amp;L'!I6*0.9</f>
        <v>116.21880000000003</v>
      </c>
      <c r="J30" s="146">
        <f>+'P&amp;L'!J6*0.9</f>
        <v>129.17880000000005</v>
      </c>
      <c r="K30" s="146">
        <f>+'P&amp;L'!K6*0.9</f>
        <v>143.20395000000008</v>
      </c>
    </row>
    <row r="31" spans="1:11" x14ac:dyDescent="0.2">
      <c r="A31" s="144" t="str">
        <f>+A18</f>
        <v>Revenue from Weigh Bridge operation</v>
      </c>
      <c r="B31" s="146">
        <f>+'P&amp;L'!B8</f>
        <v>3.7800000000000002</v>
      </c>
      <c r="C31" s="146">
        <f>+'P&amp;L'!C8</f>
        <v>4.8575999999999997</v>
      </c>
      <c r="D31" s="146">
        <f>+'P&amp;L'!D8</f>
        <v>6.12</v>
      </c>
      <c r="E31" s="146">
        <f>+'P&amp;L'!E8</f>
        <v>7.5815999999999999</v>
      </c>
      <c r="F31" s="146">
        <f>+'P&amp;L'!F8</f>
        <v>9.3631999999999991</v>
      </c>
      <c r="G31" s="146">
        <f>+'P&amp;L'!G8</f>
        <v>11.280000000000001</v>
      </c>
      <c r="H31" s="146">
        <f>+'P&amp;L'!H8</f>
        <v>13.440000000000001</v>
      </c>
      <c r="I31" s="146">
        <f>+'P&amp;L'!I8</f>
        <v>15.857600000000001</v>
      </c>
      <c r="J31" s="146">
        <f>+'P&amp;L'!J8</f>
        <v>18.712800000000001</v>
      </c>
      <c r="K31" s="146">
        <f>+'P&amp;L'!K8</f>
        <v>21.705599999999997</v>
      </c>
    </row>
    <row r="32" spans="1:11" x14ac:dyDescent="0.2">
      <c r="A32" s="144" t="str">
        <f>+A19</f>
        <v>Change in Closing Stock of FG</v>
      </c>
      <c r="B32" s="146">
        <f>+'P&amp;L'!B12-'P&amp;L'!B11</f>
        <v>4.08</v>
      </c>
      <c r="C32" s="146">
        <f>+'P&amp;L'!C12-'P&amp;L'!C11</f>
        <v>1.149</v>
      </c>
      <c r="D32" s="146">
        <f>+'P&amp;L'!D12-'P&amp;L'!D11</f>
        <v>0.60379999999999967</v>
      </c>
      <c r="E32" s="146">
        <f>+'P&amp;L'!E12-'P&amp;L'!E11</f>
        <v>0.29159999999999986</v>
      </c>
      <c r="F32" s="146">
        <f>+'P&amp;L'!F12-'P&amp;L'!F11</f>
        <v>1.1809000000000012</v>
      </c>
      <c r="G32" s="146">
        <f>+'P&amp;L'!G12-'P&amp;L'!G11</f>
        <v>0.88809999999999967</v>
      </c>
      <c r="H32" s="146">
        <f>+'P&amp;L'!H12-'P&amp;L'!H11</f>
        <v>0.93219999999999992</v>
      </c>
      <c r="I32" s="146">
        <f>+'P&amp;L'!I12-'P&amp;L'!I11</f>
        <v>1.341999999999997</v>
      </c>
      <c r="J32" s="146">
        <f>+'P&amp;L'!J12-'P&amp;L'!J11</f>
        <v>0.92249999999999943</v>
      </c>
      <c r="K32" s="146">
        <f>+'P&amp;L'!K12-'P&amp;L'!K11</f>
        <v>1.0190000000000055</v>
      </c>
    </row>
    <row r="33" spans="1:11" x14ac:dyDescent="0.2">
      <c r="A33" s="143" t="s">
        <v>568</v>
      </c>
      <c r="B33" s="147">
        <f>SUM(B29:B32)</f>
        <v>141.82500000000002</v>
      </c>
      <c r="C33" s="147">
        <f>SUM(C29:C32)</f>
        <v>164.25629999999998</v>
      </c>
      <c r="D33" s="147">
        <f>SUM(D29:D32)</f>
        <v>188.40554</v>
      </c>
      <c r="E33" s="147">
        <f>SUM(E29:E32)</f>
        <v>215.01981000000004</v>
      </c>
      <c r="F33" s="147">
        <f>SUM(F29:F32)</f>
        <v>243.67758000000003</v>
      </c>
      <c r="G33" s="147">
        <f t="shared" ref="G33:K33" si="6">SUM(G29:G32)</f>
        <v>275.16961000000003</v>
      </c>
      <c r="H33" s="147">
        <f t="shared" si="6"/>
        <v>308.7121600000001</v>
      </c>
      <c r="I33" s="147">
        <f t="shared" si="6"/>
        <v>345.90804000000003</v>
      </c>
      <c r="J33" s="147">
        <f t="shared" si="6"/>
        <v>384.73632000000009</v>
      </c>
      <c r="K33" s="147">
        <f t="shared" si="6"/>
        <v>427.78085000000004</v>
      </c>
    </row>
    <row r="34" spans="1:11" x14ac:dyDescent="0.2">
      <c r="A34" s="143" t="s">
        <v>569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</row>
    <row r="35" spans="1:11" x14ac:dyDescent="0.2">
      <c r="A35" s="148" t="s">
        <v>581</v>
      </c>
      <c r="B35" s="146">
        <f>+'P&amp;L'!B21*0.9</f>
        <v>90.9</v>
      </c>
      <c r="C35" s="146">
        <f>+'P&amp;L'!C21*0.9</f>
        <v>104.79915</v>
      </c>
      <c r="D35" s="146">
        <f>+'P&amp;L'!D21*0.9</f>
        <v>120.05396999999999</v>
      </c>
      <c r="E35" s="146">
        <f>+'P&amp;L'!E21*0.9</f>
        <v>136.56411000000003</v>
      </c>
      <c r="F35" s="146">
        <f>+'P&amp;L'!F21*0.9</f>
        <v>154.43153999999998</v>
      </c>
      <c r="G35" s="146">
        <f>+'P&amp;L'!G21*0.9</f>
        <v>173.7603</v>
      </c>
      <c r="H35" s="146">
        <f>+'P&amp;L'!H21*0.9</f>
        <v>194.60295000000002</v>
      </c>
      <c r="I35" s="146">
        <f>+'P&amp;L'!I21*0.9</f>
        <v>217.08036000000001</v>
      </c>
      <c r="J35" s="146">
        <f>+'P&amp;L'!J21*0.9</f>
        <v>241.34742000000003</v>
      </c>
      <c r="K35" s="146">
        <f>+'P&amp;L'!K21*0.9</f>
        <v>267.48674999999997</v>
      </c>
    </row>
    <row r="36" spans="1:11" x14ac:dyDescent="0.2">
      <c r="A36" s="144" t="s">
        <v>570</v>
      </c>
      <c r="B36" s="146">
        <f>+'P&amp;L'!B23</f>
        <v>19.698599999999999</v>
      </c>
      <c r="C36" s="146">
        <f>+'P&amp;L'!C23</f>
        <v>20.682030000000001</v>
      </c>
      <c r="D36" s="146">
        <f>+'P&amp;L'!D23</f>
        <v>21.714631500000003</v>
      </c>
      <c r="E36" s="146">
        <f>+'P&amp;L'!E23</f>
        <v>22.798863075000007</v>
      </c>
      <c r="F36" s="146">
        <f>+'P&amp;L'!F23</f>
        <v>23.937306228750007</v>
      </c>
      <c r="G36" s="146">
        <f>+'P&amp;L'!G23</f>
        <v>25.132671540187509</v>
      </c>
      <c r="H36" s="146">
        <f>+'P&amp;L'!H23</f>
        <v>26.387805117196883</v>
      </c>
      <c r="I36" s="146">
        <f>+'P&amp;L'!I23</f>
        <v>27.705695373056734</v>
      </c>
      <c r="J36" s="146">
        <f>+'P&amp;L'!J23</f>
        <v>29.089480141709572</v>
      </c>
      <c r="K36" s="146">
        <f>+'P&amp;L'!K23</f>
        <v>30.542454148795052</v>
      </c>
    </row>
    <row r="37" spans="1:11" x14ac:dyDescent="0.2">
      <c r="A37" s="144" t="s">
        <v>335</v>
      </c>
      <c r="B37" s="146">
        <f>+'P&amp;L'!B25</f>
        <v>13.088600000000001</v>
      </c>
      <c r="C37" s="146">
        <f>+'P&amp;L'!C25</f>
        <v>14.827800000000002</v>
      </c>
      <c r="D37" s="146">
        <f>+'P&amp;L'!D25</f>
        <v>16.588999999999999</v>
      </c>
      <c r="E37" s="146">
        <f>+'P&amp;L'!E25</f>
        <v>18.432199999999998</v>
      </c>
      <c r="F37" s="146">
        <f>+'P&amp;L'!F25</f>
        <v>20.492599999999999</v>
      </c>
      <c r="G37" s="146">
        <f>+'P&amp;L'!G25</f>
        <v>22.4758</v>
      </c>
      <c r="H37" s="146">
        <f>+'P&amp;L'!H25</f>
        <v>24.536000000000001</v>
      </c>
      <c r="I37" s="146">
        <f>+'P&amp;L'!I25</f>
        <v>26.0242</v>
      </c>
      <c r="J37" s="146">
        <f>+'P&amp;L'!J25</f>
        <v>27.674599999999995</v>
      </c>
      <c r="K37" s="146">
        <f>+'P&amp;L'!K25</f>
        <v>29.157800000000002</v>
      </c>
    </row>
    <row r="38" spans="1:11" x14ac:dyDescent="0.2">
      <c r="A38" s="143" t="s">
        <v>571</v>
      </c>
      <c r="B38" s="147">
        <f>SUM(B35:B37)</f>
        <v>123.6872</v>
      </c>
      <c r="C38" s="147">
        <f t="shared" ref="C38:K38" si="7">SUM(C35:C37)</f>
        <v>140.30897999999999</v>
      </c>
      <c r="D38" s="147">
        <f t="shared" si="7"/>
        <v>158.35760149999999</v>
      </c>
      <c r="E38" s="147">
        <f t="shared" si="7"/>
        <v>177.79517307500004</v>
      </c>
      <c r="F38" s="147">
        <f t="shared" si="7"/>
        <v>198.86144622875</v>
      </c>
      <c r="G38" s="147">
        <f t="shared" si="7"/>
        <v>221.36877154018751</v>
      </c>
      <c r="H38" s="147">
        <f t="shared" si="7"/>
        <v>245.5267551171969</v>
      </c>
      <c r="I38" s="147">
        <f t="shared" si="7"/>
        <v>270.81025537305675</v>
      </c>
      <c r="J38" s="147">
        <f t="shared" si="7"/>
        <v>298.1115001417096</v>
      </c>
      <c r="K38" s="147">
        <f t="shared" si="7"/>
        <v>327.18700414879504</v>
      </c>
    </row>
    <row r="39" spans="1:11" x14ac:dyDescent="0.2">
      <c r="A39" s="149" t="s">
        <v>572</v>
      </c>
      <c r="B39" s="150">
        <f>B33-B38</f>
        <v>18.137800000000013</v>
      </c>
      <c r="C39" s="150">
        <f>C33-C38</f>
        <v>23.947319999999991</v>
      </c>
      <c r="D39" s="150">
        <f>D33-D38</f>
        <v>30.047938500000015</v>
      </c>
      <c r="E39" s="150">
        <f>E33-E38</f>
        <v>37.224636924999999</v>
      </c>
      <c r="F39" s="150">
        <f>F33-F38</f>
        <v>44.816133771250037</v>
      </c>
      <c r="G39" s="150">
        <f t="shared" ref="G39:K39" si="8">G33-G38</f>
        <v>53.800838459812525</v>
      </c>
      <c r="H39" s="150">
        <f t="shared" si="8"/>
        <v>63.185404882803198</v>
      </c>
      <c r="I39" s="150">
        <f t="shared" si="8"/>
        <v>75.09778462694328</v>
      </c>
      <c r="J39" s="150">
        <f t="shared" si="8"/>
        <v>86.624819858290493</v>
      </c>
      <c r="K39" s="150">
        <f t="shared" si="8"/>
        <v>100.593845851205</v>
      </c>
    </row>
    <row r="40" spans="1:11" x14ac:dyDescent="0.2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</row>
    <row r="41" spans="1:11" x14ac:dyDescent="0.2">
      <c r="A41" s="143" t="s">
        <v>575</v>
      </c>
      <c r="B41" s="143" t="s">
        <v>563</v>
      </c>
      <c r="C41" s="143" t="s">
        <v>564</v>
      </c>
      <c r="D41" s="143" t="s">
        <v>565</v>
      </c>
      <c r="E41" s="143" t="s">
        <v>566</v>
      </c>
      <c r="F41" s="143" t="s">
        <v>567</v>
      </c>
      <c r="G41" s="143" t="s">
        <v>576</v>
      </c>
      <c r="H41" s="143" t="s">
        <v>577</v>
      </c>
      <c r="I41" s="143" t="s">
        <v>578</v>
      </c>
      <c r="J41" s="143" t="s">
        <v>579</v>
      </c>
      <c r="K41" s="143" t="s">
        <v>580</v>
      </c>
    </row>
    <row r="42" spans="1:11" x14ac:dyDescent="0.2">
      <c r="A42" s="144" t="str">
        <f>+A29</f>
        <v xml:space="preserve">Revenue from Sale </v>
      </c>
      <c r="B42" s="146">
        <f>+'P&amp;L'!B5</f>
        <v>94.85</v>
      </c>
      <c r="C42" s="146">
        <f>+'P&amp;L'!C5</f>
        <v>113.46299999999999</v>
      </c>
      <c r="D42" s="146">
        <f>+'P&amp;L'!D5</f>
        <v>130.42659999999998</v>
      </c>
      <c r="E42" s="146">
        <f>+'P&amp;L'!E5</f>
        <v>148.90640000000002</v>
      </c>
      <c r="F42" s="146">
        <f>+'P&amp;L'!F5</f>
        <v>167.1832</v>
      </c>
      <c r="G42" s="146">
        <f>+'P&amp;L'!G5</f>
        <v>188.88140000000001</v>
      </c>
      <c r="H42" s="146">
        <f>+'P&amp;L'!H5</f>
        <v>211.26840000000004</v>
      </c>
      <c r="I42" s="146">
        <f>+'P&amp;L'!I5</f>
        <v>236.09960000000001</v>
      </c>
      <c r="J42" s="146">
        <f>+'P&amp;L'!J5</f>
        <v>262.13579999999996</v>
      </c>
      <c r="K42" s="146">
        <f>+'P&amp;L'!K5</f>
        <v>290.94699999999995</v>
      </c>
    </row>
    <row r="43" spans="1:11" x14ac:dyDescent="0.2">
      <c r="A43" s="144" t="str">
        <f>+A30</f>
        <v>Revenue- Service Charges - Rice Milling</v>
      </c>
      <c r="B43" s="146">
        <f>+'P&amp;L'!B6</f>
        <v>54</v>
      </c>
      <c r="C43" s="146">
        <f>+'P&amp;L'!C6</f>
        <v>62.37</v>
      </c>
      <c r="D43" s="146">
        <f>+'P&amp;L'!D6</f>
        <v>71.442000000000007</v>
      </c>
      <c r="E43" s="146">
        <f>+'P&amp;L'!E6</f>
        <v>81.256500000000003</v>
      </c>
      <c r="F43" s="146">
        <f>+'P&amp;L'!F6</f>
        <v>91.854000000000013</v>
      </c>
      <c r="G43" s="146">
        <f>+'P&amp;L'!G6</f>
        <v>103.34250000000002</v>
      </c>
      <c r="H43" s="146">
        <f>+'P&amp;L'!H6</f>
        <v>115.77600000000004</v>
      </c>
      <c r="I43" s="146">
        <f>+'P&amp;L'!I6</f>
        <v>129.13200000000003</v>
      </c>
      <c r="J43" s="146">
        <f>+'P&amp;L'!J6</f>
        <v>143.53200000000007</v>
      </c>
      <c r="K43" s="146">
        <f>+'P&amp;L'!K6</f>
        <v>159.11550000000008</v>
      </c>
    </row>
    <row r="44" spans="1:11" x14ac:dyDescent="0.2">
      <c r="A44" s="144" t="str">
        <f>+A31</f>
        <v>Revenue from Weigh Bridge operation</v>
      </c>
      <c r="B44" s="146">
        <f>+'P&amp;L'!B8</f>
        <v>3.7800000000000002</v>
      </c>
      <c r="C44" s="146">
        <f>+'P&amp;L'!C8</f>
        <v>4.8575999999999997</v>
      </c>
      <c r="D44" s="146">
        <f>+'P&amp;L'!D8</f>
        <v>6.12</v>
      </c>
      <c r="E44" s="146">
        <f>+'P&amp;L'!E8</f>
        <v>7.5815999999999999</v>
      </c>
      <c r="F44" s="146">
        <f>+'P&amp;L'!F8</f>
        <v>9.3631999999999991</v>
      </c>
      <c r="G44" s="146">
        <f>+'P&amp;L'!G8</f>
        <v>11.280000000000001</v>
      </c>
      <c r="H44" s="146">
        <f>+'P&amp;L'!H8</f>
        <v>13.440000000000001</v>
      </c>
      <c r="I44" s="146">
        <f>+'P&amp;L'!I8</f>
        <v>15.857600000000001</v>
      </c>
      <c r="J44" s="146">
        <f>+'P&amp;L'!J8</f>
        <v>18.712800000000001</v>
      </c>
      <c r="K44" s="146">
        <f>+'P&amp;L'!K8</f>
        <v>21.705599999999997</v>
      </c>
    </row>
    <row r="45" spans="1:11" x14ac:dyDescent="0.2">
      <c r="A45" s="144" t="str">
        <f>+A32</f>
        <v>Change in Closing Stock of FG</v>
      </c>
      <c r="B45" s="146">
        <f>+'P&amp;L'!B12-'P&amp;L'!B11</f>
        <v>4.08</v>
      </c>
      <c r="C45" s="146">
        <f>+'P&amp;L'!C12-'P&amp;L'!C11</f>
        <v>1.149</v>
      </c>
      <c r="D45" s="146">
        <f>+'P&amp;L'!D12-'P&amp;L'!D11</f>
        <v>0.60379999999999967</v>
      </c>
      <c r="E45" s="146">
        <f>+'P&amp;L'!E12-'P&amp;L'!E11</f>
        <v>0.29159999999999986</v>
      </c>
      <c r="F45" s="146">
        <f>+'P&amp;L'!F12-'P&amp;L'!F11</f>
        <v>1.1809000000000012</v>
      </c>
      <c r="G45" s="146">
        <f>+'P&amp;L'!G12-'P&amp;L'!G11</f>
        <v>0.88809999999999967</v>
      </c>
      <c r="H45" s="146">
        <f>+'P&amp;L'!H12-'P&amp;L'!H11</f>
        <v>0.93219999999999992</v>
      </c>
      <c r="I45" s="146">
        <f>+'P&amp;L'!I12-'P&amp;L'!I11</f>
        <v>1.341999999999997</v>
      </c>
      <c r="J45" s="146">
        <f>+'P&amp;L'!J12-'P&amp;L'!J11</f>
        <v>0.92249999999999943</v>
      </c>
      <c r="K45" s="146">
        <f>+'P&amp;L'!K12-'P&amp;L'!K11</f>
        <v>1.0190000000000055</v>
      </c>
    </row>
    <row r="46" spans="1:11" x14ac:dyDescent="0.2">
      <c r="A46" s="143" t="s">
        <v>568</v>
      </c>
      <c r="B46" s="147">
        <f>SUM(B42:B45)</f>
        <v>156.71</v>
      </c>
      <c r="C46" s="147">
        <f>SUM(C42:C45)</f>
        <v>181.83959999999999</v>
      </c>
      <c r="D46" s="147">
        <f>SUM(D42:D45)</f>
        <v>208.5924</v>
      </c>
      <c r="E46" s="147">
        <f>SUM(E42:E45)</f>
        <v>238.03610000000003</v>
      </c>
      <c r="F46" s="147">
        <f>SUM(F42:F45)</f>
        <v>269.5813</v>
      </c>
      <c r="G46" s="147">
        <f t="shared" ref="G46:K46" si="9">SUM(G42:G45)</f>
        <v>304.39200000000005</v>
      </c>
      <c r="H46" s="147">
        <f t="shared" si="9"/>
        <v>341.41660000000013</v>
      </c>
      <c r="I46" s="147">
        <f t="shared" si="9"/>
        <v>382.43120000000005</v>
      </c>
      <c r="J46" s="147">
        <f t="shared" si="9"/>
        <v>425.30310000000009</v>
      </c>
      <c r="K46" s="147">
        <f t="shared" si="9"/>
        <v>472.78710000000001</v>
      </c>
    </row>
    <row r="47" spans="1:11" x14ac:dyDescent="0.2">
      <c r="A47" s="143" t="s">
        <v>569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</row>
    <row r="48" spans="1:11" x14ac:dyDescent="0.2">
      <c r="A48" s="148" t="s">
        <v>581</v>
      </c>
      <c r="B48" s="146">
        <f>+'P&amp;L'!B21*0.9</f>
        <v>90.9</v>
      </c>
      <c r="C48" s="146">
        <f>+'P&amp;L'!C21*0.9</f>
        <v>104.79915</v>
      </c>
      <c r="D48" s="146">
        <f>+'P&amp;L'!D21*0.9</f>
        <v>120.05396999999999</v>
      </c>
      <c r="E48" s="146">
        <f>+'P&amp;L'!E21*0.9</f>
        <v>136.56411000000003</v>
      </c>
      <c r="F48" s="146">
        <f>+'P&amp;L'!F21*0.9</f>
        <v>154.43153999999998</v>
      </c>
      <c r="G48" s="146">
        <f>+'P&amp;L'!G21*0.9</f>
        <v>173.7603</v>
      </c>
      <c r="H48" s="146">
        <f>+'P&amp;L'!H21*0.9</f>
        <v>194.60295000000002</v>
      </c>
      <c r="I48" s="146">
        <f>+'P&amp;L'!I21*0.9</f>
        <v>217.08036000000001</v>
      </c>
      <c r="J48" s="146">
        <f>+'P&amp;L'!J21*0.9</f>
        <v>241.34742000000003</v>
      </c>
      <c r="K48" s="146">
        <f>+'P&amp;L'!K21*0.9</f>
        <v>267.48674999999997</v>
      </c>
    </row>
    <row r="49" spans="1:11" x14ac:dyDescent="0.2">
      <c r="A49" s="144" t="s">
        <v>570</v>
      </c>
      <c r="B49" s="146">
        <f>+'P&amp;L'!B23*0.9</f>
        <v>17.728739999999998</v>
      </c>
      <c r="C49" s="146">
        <f>+'P&amp;L'!C23*0.9</f>
        <v>18.613827000000001</v>
      </c>
      <c r="D49" s="146">
        <f>+'P&amp;L'!D23*0.9</f>
        <v>19.543168350000002</v>
      </c>
      <c r="E49" s="146">
        <f>+'P&amp;L'!E23*0.9</f>
        <v>20.518976767500007</v>
      </c>
      <c r="F49" s="146">
        <f>+'P&amp;L'!F23*0.9</f>
        <v>21.543575605875006</v>
      </c>
      <c r="G49" s="146">
        <f>+'P&amp;L'!G23*0.9</f>
        <v>22.61940438616876</v>
      </c>
      <c r="H49" s="146">
        <f>+'P&amp;L'!H23*0.9</f>
        <v>23.749024605477196</v>
      </c>
      <c r="I49" s="146">
        <f>+'P&amp;L'!I23*0.9</f>
        <v>24.935125835751062</v>
      </c>
      <c r="J49" s="146">
        <f>+'P&amp;L'!J23*0.9</f>
        <v>26.180532127538616</v>
      </c>
      <c r="K49" s="146">
        <f>+'P&amp;L'!K23*0.9</f>
        <v>27.488208733915549</v>
      </c>
    </row>
    <row r="50" spans="1:11" x14ac:dyDescent="0.2">
      <c r="A50" s="144" t="s">
        <v>335</v>
      </c>
      <c r="B50" s="146">
        <f>+'P&amp;L'!B25*0.9</f>
        <v>11.779740000000002</v>
      </c>
      <c r="C50" s="146">
        <f>+'P&amp;L'!C25*0.9</f>
        <v>13.345020000000002</v>
      </c>
      <c r="D50" s="146">
        <f>+'P&amp;L'!D25*0.9</f>
        <v>14.930099999999999</v>
      </c>
      <c r="E50" s="146">
        <f>+'P&amp;L'!E25*0.9</f>
        <v>16.588979999999999</v>
      </c>
      <c r="F50" s="146">
        <f>+'P&amp;L'!F25*0.9</f>
        <v>18.443339999999999</v>
      </c>
      <c r="G50" s="146">
        <f>+'P&amp;L'!G25*0.9</f>
        <v>20.22822</v>
      </c>
      <c r="H50" s="146">
        <f>+'P&amp;L'!H25*0.9</f>
        <v>22.082400000000003</v>
      </c>
      <c r="I50" s="146">
        <f>+'P&amp;L'!I25*0.9</f>
        <v>23.421780000000002</v>
      </c>
      <c r="J50" s="146">
        <f>+'P&amp;L'!J25*0.9</f>
        <v>24.907139999999995</v>
      </c>
      <c r="K50" s="146">
        <f>+'P&amp;L'!K25*0.9</f>
        <v>26.242020000000004</v>
      </c>
    </row>
    <row r="51" spans="1:11" x14ac:dyDescent="0.2">
      <c r="A51" s="143" t="s">
        <v>571</v>
      </c>
      <c r="B51" s="147">
        <f>SUM(B48:B50)</f>
        <v>120.40848000000001</v>
      </c>
      <c r="C51" s="147">
        <f t="shared" ref="C51:K51" si="10">SUM(C48:C50)</f>
        <v>136.75799699999999</v>
      </c>
      <c r="D51" s="147">
        <f t="shared" si="10"/>
        <v>154.52723835</v>
      </c>
      <c r="E51" s="147">
        <f t="shared" si="10"/>
        <v>173.67206676750004</v>
      </c>
      <c r="F51" s="147">
        <f t="shared" si="10"/>
        <v>194.41845560587498</v>
      </c>
      <c r="G51" s="147">
        <f t="shared" si="10"/>
        <v>216.60792438616875</v>
      </c>
      <c r="H51" s="147">
        <f t="shared" si="10"/>
        <v>240.43437460547722</v>
      </c>
      <c r="I51" s="147">
        <f t="shared" si="10"/>
        <v>265.43726583575108</v>
      </c>
      <c r="J51" s="147">
        <f t="shared" si="10"/>
        <v>292.43509212753861</v>
      </c>
      <c r="K51" s="147">
        <f t="shared" si="10"/>
        <v>321.21697873391554</v>
      </c>
    </row>
    <row r="52" spans="1:11" x14ac:dyDescent="0.2">
      <c r="A52" s="149" t="s">
        <v>572</v>
      </c>
      <c r="B52" s="150">
        <f>B46-B51</f>
        <v>36.301519999999996</v>
      </c>
      <c r="C52" s="150">
        <f>C46-C51</f>
        <v>45.081603000000001</v>
      </c>
      <c r="D52" s="150">
        <f>D46-D51</f>
        <v>54.065161649999993</v>
      </c>
      <c r="E52" s="150">
        <f>E46-E51</f>
        <v>64.364033232499992</v>
      </c>
      <c r="F52" s="150">
        <f>F46-F51</f>
        <v>75.162844394125017</v>
      </c>
      <c r="G52" s="150">
        <f t="shared" ref="G52:K52" si="11">G46-G51</f>
        <v>87.784075613831305</v>
      </c>
      <c r="H52" s="150">
        <f t="shared" si="11"/>
        <v>100.98222539452291</v>
      </c>
      <c r="I52" s="150">
        <f t="shared" si="11"/>
        <v>116.99393416424897</v>
      </c>
      <c r="J52" s="150">
        <f t="shared" si="11"/>
        <v>132.86800787246148</v>
      </c>
      <c r="K52" s="150">
        <f t="shared" si="11"/>
        <v>151.57012126608447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view="pageBreakPreview" zoomScale="60" zoomScaleNormal="100" workbookViewId="0">
      <selection activeCell="C5" sqref="A1:XFD1048576"/>
    </sheetView>
  </sheetViews>
  <sheetFormatPr defaultColWidth="9.140625" defaultRowHeight="14.25" x14ac:dyDescent="0.2"/>
  <cols>
    <col min="1" max="1" width="22.42578125" style="133" bestFit="1" customWidth="1"/>
    <col min="2" max="2" width="9.5703125" style="133" bestFit="1" customWidth="1"/>
    <col min="3" max="3" width="11.140625" style="133" customWidth="1"/>
    <col min="4" max="16384" width="9.140625" style="133"/>
  </cols>
  <sheetData>
    <row r="1" spans="1:19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9" s="139" customFormat="1" ht="30" x14ac:dyDescent="0.25">
      <c r="A2" s="137" t="s">
        <v>600</v>
      </c>
      <c r="B2" s="138" t="s">
        <v>36</v>
      </c>
      <c r="C2" s="138" t="s">
        <v>37</v>
      </c>
      <c r="D2" s="138" t="s">
        <v>38</v>
      </c>
      <c r="E2" s="138" t="s">
        <v>39</v>
      </c>
      <c r="F2" s="138" t="s">
        <v>40</v>
      </c>
      <c r="G2" s="138" t="s">
        <v>41</v>
      </c>
      <c r="H2" s="138" t="s">
        <v>42</v>
      </c>
      <c r="I2" s="138" t="s">
        <v>494</v>
      </c>
      <c r="J2" s="138" t="s">
        <v>495</v>
      </c>
      <c r="K2" s="138" t="s">
        <v>496</v>
      </c>
    </row>
    <row r="3" spans="1:19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9" x14ac:dyDescent="0.2">
      <c r="A4" s="116" t="s">
        <v>598</v>
      </c>
      <c r="B4" s="140">
        <v>515</v>
      </c>
      <c r="C4" s="140">
        <f>ROUND(B4*120%,0)</f>
        <v>618</v>
      </c>
      <c r="D4" s="140">
        <f t="shared" ref="D4:K4" si="0">ROUND(C4*120%,0)</f>
        <v>742</v>
      </c>
      <c r="E4" s="140">
        <f t="shared" si="0"/>
        <v>890</v>
      </c>
      <c r="F4" s="140">
        <f t="shared" si="0"/>
        <v>1068</v>
      </c>
      <c r="G4" s="140">
        <f t="shared" si="0"/>
        <v>1282</v>
      </c>
      <c r="H4" s="140">
        <f t="shared" si="0"/>
        <v>1538</v>
      </c>
      <c r="I4" s="140">
        <f t="shared" si="0"/>
        <v>1846</v>
      </c>
      <c r="J4" s="140">
        <f t="shared" si="0"/>
        <v>2215</v>
      </c>
      <c r="K4" s="140">
        <f t="shared" si="0"/>
        <v>2658</v>
      </c>
    </row>
    <row r="5" spans="1:19" x14ac:dyDescent="0.2">
      <c r="A5" s="116" t="s">
        <v>599</v>
      </c>
      <c r="B5" s="140">
        <v>3500</v>
      </c>
      <c r="C5" s="140">
        <f>B5-(C4-B4)</f>
        <v>3397</v>
      </c>
      <c r="D5" s="140">
        <f t="shared" ref="D5:H5" si="1">C5-(D4-C4)</f>
        <v>3273</v>
      </c>
      <c r="E5" s="140">
        <f t="shared" si="1"/>
        <v>3125</v>
      </c>
      <c r="F5" s="140">
        <f t="shared" si="1"/>
        <v>2947</v>
      </c>
      <c r="G5" s="140">
        <f t="shared" si="1"/>
        <v>2733</v>
      </c>
      <c r="H5" s="140">
        <f t="shared" si="1"/>
        <v>2477</v>
      </c>
      <c r="I5" s="140">
        <f t="shared" ref="I5" si="2">H5-(I4-H4)</f>
        <v>2169</v>
      </c>
      <c r="J5" s="140">
        <f t="shared" ref="J5" si="3">I5-(J4-I4)</f>
        <v>1800</v>
      </c>
      <c r="K5" s="140">
        <f t="shared" ref="K5" si="4">J5-(K4-J4)</f>
        <v>1357</v>
      </c>
    </row>
    <row r="6" spans="1:19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</row>
    <row r="7" spans="1:19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1:19" s="139" customFormat="1" ht="15" x14ac:dyDescent="0.25">
      <c r="A8" s="141" t="s">
        <v>601</v>
      </c>
      <c r="B8" s="138" t="s">
        <v>36</v>
      </c>
      <c r="C8" s="138" t="s">
        <v>37</v>
      </c>
      <c r="D8" s="138" t="s">
        <v>38</v>
      </c>
      <c r="E8" s="138" t="s">
        <v>39</v>
      </c>
      <c r="F8" s="138" t="s">
        <v>40</v>
      </c>
      <c r="G8" s="138" t="s">
        <v>41</v>
      </c>
      <c r="H8" s="138" t="s">
        <v>42</v>
      </c>
      <c r="I8" s="138" t="s">
        <v>494</v>
      </c>
      <c r="J8" s="138" t="s">
        <v>495</v>
      </c>
      <c r="K8" s="138" t="s">
        <v>496</v>
      </c>
      <c r="O8" s="133"/>
      <c r="P8" s="133"/>
    </row>
    <row r="9" spans="1:19" x14ac:dyDescent="0.2">
      <c r="A9" s="116"/>
      <c r="B9" s="126"/>
      <c r="C9" s="116"/>
      <c r="D9" s="116"/>
      <c r="E9" s="116"/>
      <c r="F9" s="116"/>
      <c r="G9" s="116"/>
      <c r="H9" s="116"/>
      <c r="I9" s="116"/>
      <c r="J9" s="116"/>
      <c r="K9" s="116"/>
    </row>
    <row r="10" spans="1:19" x14ac:dyDescent="0.2">
      <c r="A10" s="116" t="s">
        <v>598</v>
      </c>
      <c r="B10" s="122">
        <v>5034</v>
      </c>
      <c r="C10" s="122">
        <f>B10+(B11-C11)</f>
        <v>5291.5</v>
      </c>
      <c r="D10" s="122">
        <f t="shared" ref="D10:K10" si="5">C10+(C11-D11)</f>
        <v>5601.5</v>
      </c>
      <c r="E10" s="122">
        <f t="shared" si="5"/>
        <v>5971.5</v>
      </c>
      <c r="F10" s="122">
        <f t="shared" si="5"/>
        <v>6416.5</v>
      </c>
      <c r="G10" s="122">
        <f t="shared" si="5"/>
        <v>6951.5</v>
      </c>
      <c r="H10" s="122">
        <f t="shared" si="5"/>
        <v>7591.5</v>
      </c>
      <c r="I10" s="122">
        <f t="shared" si="5"/>
        <v>8361.5</v>
      </c>
      <c r="J10" s="122">
        <f t="shared" si="5"/>
        <v>9284</v>
      </c>
      <c r="K10" s="122">
        <f t="shared" si="5"/>
        <v>10391.5</v>
      </c>
    </row>
    <row r="11" spans="1:19" x14ac:dyDescent="0.2">
      <c r="A11" s="116" t="s">
        <v>599</v>
      </c>
      <c r="B11" s="122">
        <f>B5*2.5</f>
        <v>8750</v>
      </c>
      <c r="C11" s="122">
        <f t="shared" ref="C11:K11" si="6">C5*2.5</f>
        <v>8492.5</v>
      </c>
      <c r="D11" s="122">
        <f t="shared" si="6"/>
        <v>8182.5</v>
      </c>
      <c r="E11" s="122">
        <f t="shared" si="6"/>
        <v>7812.5</v>
      </c>
      <c r="F11" s="122">
        <f t="shared" si="6"/>
        <v>7367.5</v>
      </c>
      <c r="G11" s="122">
        <f t="shared" si="6"/>
        <v>6832.5</v>
      </c>
      <c r="H11" s="122">
        <f t="shared" si="6"/>
        <v>6192.5</v>
      </c>
      <c r="I11" s="122">
        <f t="shared" si="6"/>
        <v>5422.5</v>
      </c>
      <c r="J11" s="122">
        <f t="shared" si="6"/>
        <v>4500</v>
      </c>
      <c r="K11" s="122">
        <f t="shared" si="6"/>
        <v>3392.5</v>
      </c>
    </row>
    <row r="12" spans="1:19" x14ac:dyDescent="0.2">
      <c r="A12" s="116"/>
      <c r="B12" s="140"/>
      <c r="C12" s="140"/>
      <c r="D12" s="140"/>
      <c r="E12" s="140"/>
      <c r="F12" s="140"/>
      <c r="G12" s="140"/>
      <c r="H12" s="140"/>
      <c r="I12" s="140"/>
      <c r="J12" s="140"/>
      <c r="K12" s="140"/>
    </row>
    <row r="13" spans="1:19" s="139" customFormat="1" ht="15" x14ac:dyDescent="0.25">
      <c r="A13" s="141" t="s">
        <v>602</v>
      </c>
      <c r="B13" s="142">
        <f>SUM(B10:B12)</f>
        <v>13784</v>
      </c>
      <c r="C13" s="142">
        <f t="shared" ref="C13:K13" si="7">SUM(C10:C12)</f>
        <v>13784</v>
      </c>
      <c r="D13" s="142">
        <f t="shared" si="7"/>
        <v>13784</v>
      </c>
      <c r="E13" s="142">
        <f t="shared" si="7"/>
        <v>13784</v>
      </c>
      <c r="F13" s="142">
        <f t="shared" si="7"/>
        <v>13784</v>
      </c>
      <c r="G13" s="142">
        <f t="shared" si="7"/>
        <v>13784</v>
      </c>
      <c r="H13" s="142">
        <f t="shared" si="7"/>
        <v>13784</v>
      </c>
      <c r="I13" s="142">
        <f t="shared" si="7"/>
        <v>13784</v>
      </c>
      <c r="J13" s="142">
        <f t="shared" si="7"/>
        <v>13784</v>
      </c>
      <c r="K13" s="142">
        <f t="shared" si="7"/>
        <v>13784</v>
      </c>
    </row>
    <row r="14" spans="1:19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9" s="139" customFormat="1" ht="50.25" customHeight="1" x14ac:dyDescent="0.25">
      <c r="A15" s="137" t="s">
        <v>633</v>
      </c>
      <c r="B15" s="142">
        <f>B13*0.7</f>
        <v>9648.7999999999993</v>
      </c>
      <c r="C15" s="142">
        <f t="shared" ref="C15:K15" si="8">C13*0.7</f>
        <v>9648.7999999999993</v>
      </c>
      <c r="D15" s="142">
        <f t="shared" si="8"/>
        <v>9648.7999999999993</v>
      </c>
      <c r="E15" s="142">
        <f t="shared" si="8"/>
        <v>9648.7999999999993</v>
      </c>
      <c r="F15" s="142">
        <f t="shared" si="8"/>
        <v>9648.7999999999993</v>
      </c>
      <c r="G15" s="142">
        <f t="shared" si="8"/>
        <v>9648.7999999999993</v>
      </c>
      <c r="H15" s="142">
        <f t="shared" si="8"/>
        <v>9648.7999999999993</v>
      </c>
      <c r="I15" s="142">
        <f t="shared" si="8"/>
        <v>9648.7999999999993</v>
      </c>
      <c r="J15" s="142">
        <f t="shared" si="8"/>
        <v>9648.7999999999993</v>
      </c>
      <c r="K15" s="142">
        <f t="shared" si="8"/>
        <v>9648.7999999999993</v>
      </c>
      <c r="P15" s="133"/>
      <c r="Q15" s="133"/>
      <c r="R15" s="133"/>
      <c r="S15" s="133"/>
    </row>
    <row r="16" spans="1:19" x14ac:dyDescent="0.2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7" spans="1:19" s="139" customFormat="1" ht="30" x14ac:dyDescent="0.25">
      <c r="A17" s="137" t="s">
        <v>604</v>
      </c>
      <c r="B17" s="138">
        <f>'Output Schedule'!B12+'Output Schedule'!B17+'Output Schedule'!B18</f>
        <v>5000</v>
      </c>
      <c r="C17" s="138">
        <f>'Output Schedule'!C12+'Output Schedule'!C17+'Output Schedule'!C18</f>
        <v>5500</v>
      </c>
      <c r="D17" s="138">
        <f>'Output Schedule'!D12+'Output Schedule'!D17+'Output Schedule'!D18</f>
        <v>6000.0000000000009</v>
      </c>
      <c r="E17" s="138">
        <f>'Output Schedule'!E12+'Output Schedule'!E17+'Output Schedule'!E18</f>
        <v>6500.0000000000009</v>
      </c>
      <c r="F17" s="138">
        <f>'Output Schedule'!F12+'Output Schedule'!F17+'Output Schedule'!F18</f>
        <v>7000.0000000000018</v>
      </c>
      <c r="G17" s="138">
        <f>'Output Schedule'!G12+'Output Schedule'!G17+'Output Schedule'!G18</f>
        <v>7500.0000000000018</v>
      </c>
      <c r="H17" s="138">
        <f>'Output Schedule'!H12+'Output Schedule'!H17+'Output Schedule'!H18</f>
        <v>8000.0000000000027</v>
      </c>
      <c r="I17" s="138">
        <f>'Output Schedule'!I12+'Output Schedule'!I17+'Output Schedule'!I18</f>
        <v>8500.0000000000036</v>
      </c>
      <c r="J17" s="138">
        <f>'Output Schedule'!J12+'Output Schedule'!J17+'Output Schedule'!J18</f>
        <v>9000.0000000000036</v>
      </c>
      <c r="K17" s="138">
        <f>'Output Schedule'!K12+'Output Schedule'!K17+'Output Schedule'!K18</f>
        <v>9500.0000000000036</v>
      </c>
    </row>
    <row r="27" spans="1:19" x14ac:dyDescent="0.2">
      <c r="S27" s="133">
        <f>347/910</f>
        <v>0.3813186813186813</v>
      </c>
    </row>
  </sheetData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C5" sqref="A1:XFD1048576"/>
    </sheetView>
  </sheetViews>
  <sheetFormatPr defaultRowHeight="14.25" x14ac:dyDescent="0.2"/>
  <cols>
    <col min="1" max="1" width="32.7109375" style="133" bestFit="1" customWidth="1"/>
    <col min="2" max="2" width="27.5703125" style="133" bestFit="1" customWidth="1"/>
    <col min="3" max="3" width="23.7109375" style="133" bestFit="1" customWidth="1"/>
    <col min="4" max="4" width="22.28515625" style="133" bestFit="1" customWidth="1"/>
    <col min="5" max="5" width="22" style="133" bestFit="1" customWidth="1"/>
    <col min="6" max="6" width="9.140625" style="133"/>
    <col min="7" max="7" width="12" style="133" bestFit="1" customWidth="1"/>
    <col min="8" max="8" width="9.140625" style="133"/>
    <col min="9" max="9" width="12.42578125" style="133" bestFit="1" customWidth="1"/>
    <col min="10" max="10" width="6" style="133" bestFit="1" customWidth="1"/>
    <col min="11" max="16384" width="9.140625" style="133"/>
  </cols>
  <sheetData>
    <row r="1" spans="1:5" ht="18" x14ac:dyDescent="0.25">
      <c r="A1" s="365" t="s">
        <v>25</v>
      </c>
      <c r="B1" s="365"/>
    </row>
    <row r="2" spans="1:5" ht="15.75" x14ac:dyDescent="0.25">
      <c r="A2" s="231" t="s">
        <v>26</v>
      </c>
    </row>
    <row r="3" spans="1:5" ht="15" x14ac:dyDescent="0.25">
      <c r="A3" s="114" t="s">
        <v>1</v>
      </c>
      <c r="B3" s="114" t="s">
        <v>27</v>
      </c>
      <c r="C3" s="114" t="s">
        <v>546</v>
      </c>
      <c r="D3" s="114" t="s">
        <v>635</v>
      </c>
      <c r="E3" s="114" t="s">
        <v>636</v>
      </c>
    </row>
    <row r="4" spans="1:5" x14ac:dyDescent="0.2">
      <c r="A4" s="116"/>
      <c r="B4" s="116"/>
      <c r="C4" s="116"/>
    </row>
    <row r="5" spans="1:5" x14ac:dyDescent="0.2">
      <c r="A5" s="116" t="s">
        <v>28</v>
      </c>
      <c r="B5" s="199">
        <v>0</v>
      </c>
      <c r="C5" s="232">
        <f>B5/$B$15</f>
        <v>0</v>
      </c>
      <c r="D5" s="233">
        <v>0</v>
      </c>
      <c r="E5" s="215">
        <f>B5*D5</f>
        <v>0</v>
      </c>
    </row>
    <row r="6" spans="1:5" x14ac:dyDescent="0.2">
      <c r="A6" s="116" t="s">
        <v>5</v>
      </c>
      <c r="B6" s="124">
        <f>'Capital Cost'!C6</f>
        <v>92.18</v>
      </c>
      <c r="C6" s="232">
        <f t="shared" ref="C6:C13" si="0">B6/$B$15</f>
        <v>0.4435912185171984</v>
      </c>
      <c r="D6" s="233">
        <v>0.6</v>
      </c>
      <c r="E6" s="215">
        <f t="shared" ref="E6:E13" si="1">B6*D6</f>
        <v>55.308</v>
      </c>
    </row>
    <row r="7" spans="1:5" x14ac:dyDescent="0.2">
      <c r="A7" s="116" t="s">
        <v>7</v>
      </c>
      <c r="B7" s="124">
        <v>0</v>
      </c>
      <c r="C7" s="232">
        <f t="shared" si="0"/>
        <v>0</v>
      </c>
      <c r="D7" s="233">
        <v>0</v>
      </c>
      <c r="E7" s="215">
        <f t="shared" si="1"/>
        <v>0</v>
      </c>
    </row>
    <row r="8" spans="1:5" x14ac:dyDescent="0.2">
      <c r="A8" s="123" t="s">
        <v>404</v>
      </c>
      <c r="B8" s="124">
        <f>+'Capital Cost'!C13+'Capital Cost'!C33+'Capital Cost'!C35+'Capital Cost'!C42</f>
        <v>103.46000000000001</v>
      </c>
      <c r="C8" s="232">
        <f t="shared" si="0"/>
        <v>0.49787315543273319</v>
      </c>
      <c r="D8" s="233">
        <v>0.6</v>
      </c>
      <c r="E8" s="215">
        <f t="shared" si="1"/>
        <v>62.076000000000001</v>
      </c>
    </row>
    <row r="9" spans="1:5" hidden="1" x14ac:dyDescent="0.2">
      <c r="A9" s="123" t="s">
        <v>491</v>
      </c>
      <c r="B9" s="128"/>
      <c r="C9" s="232">
        <f t="shared" si="0"/>
        <v>0</v>
      </c>
      <c r="D9" s="233"/>
      <c r="E9" s="215">
        <f t="shared" si="1"/>
        <v>0</v>
      </c>
    </row>
    <row r="10" spans="1:5" x14ac:dyDescent="0.2">
      <c r="A10" s="123" t="s">
        <v>587</v>
      </c>
      <c r="B10" s="124">
        <f>+'Capital Cost'!C46</f>
        <v>9.7820000000000018</v>
      </c>
      <c r="C10" s="232">
        <f t="shared" si="0"/>
        <v>4.7073218697496588E-2</v>
      </c>
      <c r="D10" s="233">
        <v>0.6</v>
      </c>
      <c r="E10" s="215">
        <f t="shared" si="1"/>
        <v>5.8692000000000011</v>
      </c>
    </row>
    <row r="11" spans="1:5" x14ac:dyDescent="0.2">
      <c r="A11" s="123" t="s">
        <v>405</v>
      </c>
      <c r="B11" s="124">
        <v>0</v>
      </c>
      <c r="C11" s="232">
        <f t="shared" si="0"/>
        <v>0</v>
      </c>
      <c r="D11" s="233">
        <v>0.6</v>
      </c>
      <c r="E11" s="215">
        <f t="shared" si="1"/>
        <v>0</v>
      </c>
    </row>
    <row r="12" spans="1:5" x14ac:dyDescent="0.2">
      <c r="A12" s="116" t="s">
        <v>21</v>
      </c>
      <c r="B12" s="124">
        <v>0</v>
      </c>
      <c r="C12" s="232">
        <f t="shared" si="0"/>
        <v>0</v>
      </c>
      <c r="D12" s="233">
        <v>0</v>
      </c>
      <c r="E12" s="215">
        <f t="shared" si="1"/>
        <v>0</v>
      </c>
    </row>
    <row r="13" spans="1:5" x14ac:dyDescent="0.2">
      <c r="A13" s="116" t="s">
        <v>23</v>
      </c>
      <c r="B13" s="124">
        <f>'WC Assessment'!C13</f>
        <v>2.3819333333333339</v>
      </c>
      <c r="C13" s="232">
        <f t="shared" si="0"/>
        <v>1.1462407352571768E-2</v>
      </c>
      <c r="D13" s="233">
        <v>0</v>
      </c>
      <c r="E13" s="215">
        <f t="shared" si="1"/>
        <v>0</v>
      </c>
    </row>
    <row r="14" spans="1:5" x14ac:dyDescent="0.2">
      <c r="A14" s="116"/>
      <c r="B14" s="116"/>
      <c r="C14" s="116"/>
    </row>
    <row r="15" spans="1:5" ht="15" x14ac:dyDescent="0.25">
      <c r="A15" s="138" t="s">
        <v>29</v>
      </c>
      <c r="B15" s="234">
        <f>SUM(B5:B14)</f>
        <v>207.80393333333336</v>
      </c>
      <c r="C15" s="235">
        <f>B15/$B$15</f>
        <v>1</v>
      </c>
      <c r="E15" s="215">
        <f>SUM(E5:E14)</f>
        <v>123.25320000000001</v>
      </c>
    </row>
    <row r="17" spans="1:4" ht="15.75" x14ac:dyDescent="0.25">
      <c r="A17" s="324" t="s">
        <v>30</v>
      </c>
    </row>
    <row r="18" spans="1:4" ht="15" x14ac:dyDescent="0.25">
      <c r="A18" s="114" t="s">
        <v>1</v>
      </c>
      <c r="B18" s="114" t="s">
        <v>27</v>
      </c>
      <c r="C18" s="114" t="s">
        <v>547</v>
      </c>
    </row>
    <row r="19" spans="1:4" x14ac:dyDescent="0.2">
      <c r="A19" s="116" t="s">
        <v>32</v>
      </c>
      <c r="B19" s="124">
        <f>+B15-B20</f>
        <v>84.550733333333355</v>
      </c>
      <c r="C19" s="232">
        <f>B19/$B$23</f>
        <v>0.40687744441154311</v>
      </c>
      <c r="D19" s="239"/>
    </row>
    <row r="20" spans="1:4" x14ac:dyDescent="0.2">
      <c r="A20" s="116" t="s">
        <v>324</v>
      </c>
      <c r="B20" s="124">
        <f>+(B15-B13)*0.6</f>
        <v>123.25320000000001</v>
      </c>
      <c r="C20" s="232">
        <f t="shared" ref="C20:C23" si="2">B20/$B$23</f>
        <v>0.59312255558845695</v>
      </c>
      <c r="D20" s="239"/>
    </row>
    <row r="21" spans="1:4" x14ac:dyDescent="0.2">
      <c r="A21" s="116" t="s">
        <v>31</v>
      </c>
      <c r="B21" s="124">
        <v>0</v>
      </c>
      <c r="C21" s="232">
        <f t="shared" si="2"/>
        <v>0</v>
      </c>
      <c r="D21" s="239"/>
    </row>
    <row r="22" spans="1:4" x14ac:dyDescent="0.2">
      <c r="A22" s="116"/>
      <c r="B22" s="116"/>
      <c r="C22" s="116"/>
    </row>
    <row r="23" spans="1:4" ht="15" x14ac:dyDescent="0.25">
      <c r="A23" s="138" t="s">
        <v>29</v>
      </c>
      <c r="B23" s="234">
        <f>B15</f>
        <v>207.80393333333336</v>
      </c>
      <c r="C23" s="235">
        <f t="shared" si="2"/>
        <v>1</v>
      </c>
    </row>
  </sheetData>
  <mergeCells count="1">
    <mergeCell ref="A1:B1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C5" sqref="A1:XFD1048576"/>
    </sheetView>
  </sheetViews>
  <sheetFormatPr defaultRowHeight="14.25" x14ac:dyDescent="0.2"/>
  <cols>
    <col min="1" max="1" width="0" style="133" hidden="1" customWidth="1"/>
    <col min="2" max="2" width="32.28515625" style="133" bestFit="1" customWidth="1"/>
    <col min="3" max="10" width="9.42578125" style="133" bestFit="1" customWidth="1"/>
    <col min="11" max="11" width="8.42578125" style="133" bestFit="1" customWidth="1"/>
    <col min="12" max="12" width="8" style="133" bestFit="1" customWidth="1"/>
    <col min="13" max="14" width="9.140625" style="133"/>
    <col min="15" max="15" width="30.5703125" style="133" bestFit="1" customWidth="1"/>
    <col min="16" max="18" width="9.42578125" style="133" bestFit="1" customWidth="1"/>
    <col min="19" max="25" width="8.42578125" style="133" bestFit="1" customWidth="1"/>
    <col min="26" max="16384" width="9.140625" style="133"/>
  </cols>
  <sheetData>
    <row r="2" spans="2:25" ht="15" x14ac:dyDescent="0.25">
      <c r="B2" s="366" t="s">
        <v>34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O2" s="366" t="s">
        <v>35</v>
      </c>
      <c r="P2" s="367"/>
      <c r="Q2" s="367"/>
      <c r="R2" s="367"/>
      <c r="S2" s="367"/>
      <c r="T2" s="367"/>
      <c r="U2" s="367"/>
      <c r="V2" s="367"/>
      <c r="W2" s="367"/>
      <c r="X2" s="367"/>
      <c r="Y2" s="367"/>
    </row>
    <row r="3" spans="2:25" ht="15" x14ac:dyDescent="0.2">
      <c r="B3" s="192" t="s">
        <v>1</v>
      </c>
      <c r="C3" s="192" t="s">
        <v>36</v>
      </c>
      <c r="D3" s="192" t="s">
        <v>37</v>
      </c>
      <c r="E3" s="192" t="s">
        <v>38</v>
      </c>
      <c r="F3" s="192" t="s">
        <v>39</v>
      </c>
      <c r="G3" s="192" t="s">
        <v>40</v>
      </c>
      <c r="H3" s="192" t="s">
        <v>41</v>
      </c>
      <c r="I3" s="192" t="s">
        <v>42</v>
      </c>
      <c r="J3" s="192" t="s">
        <v>494</v>
      </c>
      <c r="K3" s="192" t="s">
        <v>495</v>
      </c>
      <c r="L3" s="192" t="s">
        <v>496</v>
      </c>
      <c r="O3" s="192" t="s">
        <v>1</v>
      </c>
      <c r="P3" s="192" t="s">
        <v>36</v>
      </c>
      <c r="Q3" s="192" t="s">
        <v>37</v>
      </c>
      <c r="R3" s="192" t="s">
        <v>38</v>
      </c>
      <c r="S3" s="192" t="s">
        <v>39</v>
      </c>
      <c r="T3" s="192" t="s">
        <v>40</v>
      </c>
      <c r="U3" s="192" t="s">
        <v>41</v>
      </c>
      <c r="V3" s="192" t="s">
        <v>42</v>
      </c>
      <c r="W3" s="192" t="s">
        <v>494</v>
      </c>
      <c r="X3" s="192" t="s">
        <v>495</v>
      </c>
      <c r="Y3" s="192" t="s">
        <v>496</v>
      </c>
    </row>
    <row r="4" spans="2:25" ht="15" x14ac:dyDescent="0.25">
      <c r="B4" s="141" t="s">
        <v>43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O4" s="141" t="s">
        <v>44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spans="2:25" x14ac:dyDescent="0.2">
      <c r="B5" s="116" t="s">
        <v>45</v>
      </c>
      <c r="C5" s="124">
        <f>'Project Glance'!B6+'Project Glance'!B7</f>
        <v>92.18</v>
      </c>
      <c r="D5" s="124">
        <f>C7</f>
        <v>89.257894000000007</v>
      </c>
      <c r="E5" s="124">
        <f t="shared" ref="E5:I5" si="0">D7</f>
        <v>86.335788000000008</v>
      </c>
      <c r="F5" s="124">
        <f t="shared" si="0"/>
        <v>83.413682000000009</v>
      </c>
      <c r="G5" s="124">
        <f t="shared" si="0"/>
        <v>80.491576000000009</v>
      </c>
      <c r="H5" s="124">
        <f t="shared" si="0"/>
        <v>77.56947000000001</v>
      </c>
      <c r="I5" s="124">
        <f t="shared" si="0"/>
        <v>74.64736400000001</v>
      </c>
      <c r="J5" s="124">
        <f t="shared" ref="J5" si="1">I7</f>
        <v>71.725258000000011</v>
      </c>
      <c r="K5" s="124">
        <f t="shared" ref="K5" si="2">J7</f>
        <v>68.803152000000011</v>
      </c>
      <c r="L5" s="124">
        <f t="shared" ref="L5" si="3">K7</f>
        <v>65.881046000000012</v>
      </c>
      <c r="O5" s="116" t="s">
        <v>45</v>
      </c>
      <c r="P5" s="124">
        <f>C5</f>
        <v>92.18</v>
      </c>
      <c r="Q5" s="124">
        <f>P7</f>
        <v>82.962000000000003</v>
      </c>
      <c r="R5" s="124">
        <f t="shared" ref="R5:V5" si="4">Q7</f>
        <v>74.665800000000004</v>
      </c>
      <c r="S5" s="124">
        <f t="shared" si="4"/>
        <v>67.199219999999997</v>
      </c>
      <c r="T5" s="124">
        <f t="shared" si="4"/>
        <v>60.479298</v>
      </c>
      <c r="U5" s="124">
        <f t="shared" si="4"/>
        <v>54.431368200000001</v>
      </c>
      <c r="V5" s="124">
        <f t="shared" si="4"/>
        <v>48.988231380000002</v>
      </c>
      <c r="W5" s="124">
        <f t="shared" ref="W5" si="5">V7</f>
        <v>44.089408242000005</v>
      </c>
      <c r="X5" s="124">
        <f t="shared" ref="X5" si="6">W7</f>
        <v>39.680467417800003</v>
      </c>
      <c r="Y5" s="124">
        <f t="shared" ref="Y5" si="7">X7</f>
        <v>35.712420676020002</v>
      </c>
    </row>
    <row r="6" spans="2:25" x14ac:dyDescent="0.2">
      <c r="B6" s="116" t="s">
        <v>46</v>
      </c>
      <c r="C6" s="124">
        <f>C5*3.17%</f>
        <v>2.9221060000000003</v>
      </c>
      <c r="D6" s="124">
        <f>C6</f>
        <v>2.9221060000000003</v>
      </c>
      <c r="E6" s="124">
        <f t="shared" ref="E6:I6" si="8">D6</f>
        <v>2.9221060000000003</v>
      </c>
      <c r="F6" s="124">
        <f t="shared" si="8"/>
        <v>2.9221060000000003</v>
      </c>
      <c r="G6" s="124">
        <f t="shared" si="8"/>
        <v>2.9221060000000003</v>
      </c>
      <c r="H6" s="124">
        <f t="shared" si="8"/>
        <v>2.9221060000000003</v>
      </c>
      <c r="I6" s="124">
        <f t="shared" si="8"/>
        <v>2.9221060000000003</v>
      </c>
      <c r="J6" s="124">
        <f t="shared" ref="J6" si="9">I6</f>
        <v>2.9221060000000003</v>
      </c>
      <c r="K6" s="124">
        <f t="shared" ref="K6" si="10">J6</f>
        <v>2.9221060000000003</v>
      </c>
      <c r="L6" s="124">
        <f t="shared" ref="L6" si="11">K6</f>
        <v>2.9221060000000003</v>
      </c>
      <c r="O6" s="133" t="s">
        <v>47</v>
      </c>
      <c r="P6" s="124">
        <f>P5*10%</f>
        <v>9.2180000000000017</v>
      </c>
      <c r="Q6" s="124">
        <f>Q5*10%</f>
        <v>8.2962000000000007</v>
      </c>
      <c r="R6" s="124">
        <f t="shared" ref="R6:V6" si="12">R5*10%</f>
        <v>7.4665800000000004</v>
      </c>
      <c r="S6" s="124">
        <f t="shared" si="12"/>
        <v>6.7199220000000004</v>
      </c>
      <c r="T6" s="124">
        <f t="shared" si="12"/>
        <v>6.0479298000000004</v>
      </c>
      <c r="U6" s="124">
        <f t="shared" si="12"/>
        <v>5.4431368200000003</v>
      </c>
      <c r="V6" s="124">
        <f t="shared" si="12"/>
        <v>4.8988231380000009</v>
      </c>
      <c r="W6" s="124">
        <f t="shared" ref="W6:Y6" si="13">W5*10%</f>
        <v>4.408940824200001</v>
      </c>
      <c r="X6" s="124">
        <f t="shared" si="13"/>
        <v>3.9680467417800003</v>
      </c>
      <c r="Y6" s="124">
        <f t="shared" si="13"/>
        <v>3.5712420676020002</v>
      </c>
    </row>
    <row r="7" spans="2:25" x14ac:dyDescent="0.2">
      <c r="B7" s="116" t="s">
        <v>48</v>
      </c>
      <c r="C7" s="124">
        <f>C5-C6</f>
        <v>89.257894000000007</v>
      </c>
      <c r="D7" s="124">
        <f t="shared" ref="D7:I7" si="14">D5-D6</f>
        <v>86.335788000000008</v>
      </c>
      <c r="E7" s="124">
        <f t="shared" si="14"/>
        <v>83.413682000000009</v>
      </c>
      <c r="F7" s="124">
        <f t="shared" si="14"/>
        <v>80.491576000000009</v>
      </c>
      <c r="G7" s="124">
        <f t="shared" si="14"/>
        <v>77.56947000000001</v>
      </c>
      <c r="H7" s="124">
        <f t="shared" si="14"/>
        <v>74.64736400000001</v>
      </c>
      <c r="I7" s="124">
        <f t="shared" si="14"/>
        <v>71.725258000000011</v>
      </c>
      <c r="J7" s="124">
        <f t="shared" ref="J7:L7" si="15">J5-J6</f>
        <v>68.803152000000011</v>
      </c>
      <c r="K7" s="124">
        <f t="shared" si="15"/>
        <v>65.881046000000012</v>
      </c>
      <c r="L7" s="124">
        <f t="shared" si="15"/>
        <v>62.958940000000013</v>
      </c>
      <c r="O7" s="116" t="s">
        <v>48</v>
      </c>
      <c r="P7" s="124">
        <f t="shared" ref="P7:V7" si="16">P5-P6</f>
        <v>82.962000000000003</v>
      </c>
      <c r="Q7" s="124">
        <f t="shared" si="16"/>
        <v>74.665800000000004</v>
      </c>
      <c r="R7" s="124">
        <f t="shared" si="16"/>
        <v>67.199219999999997</v>
      </c>
      <c r="S7" s="124">
        <f t="shared" si="16"/>
        <v>60.479298</v>
      </c>
      <c r="T7" s="124">
        <f t="shared" si="16"/>
        <v>54.431368200000001</v>
      </c>
      <c r="U7" s="124">
        <f t="shared" si="16"/>
        <v>48.988231380000002</v>
      </c>
      <c r="V7" s="124">
        <f t="shared" si="16"/>
        <v>44.089408242000005</v>
      </c>
      <c r="W7" s="124">
        <f t="shared" ref="W7:Y7" si="17">W5-W6</f>
        <v>39.680467417800003</v>
      </c>
      <c r="X7" s="124">
        <f t="shared" si="17"/>
        <v>35.712420676020002</v>
      </c>
      <c r="Y7" s="124">
        <f t="shared" si="17"/>
        <v>32.141178608418002</v>
      </c>
    </row>
    <row r="8" spans="2:25" x14ac:dyDescent="0.2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O8" s="116"/>
      <c r="P8" s="116"/>
      <c r="Q8" s="124"/>
      <c r="R8" s="124"/>
      <c r="S8" s="124"/>
      <c r="T8" s="124"/>
      <c r="U8" s="116"/>
      <c r="V8" s="116"/>
      <c r="W8" s="116"/>
      <c r="X8" s="116"/>
      <c r="Y8" s="116"/>
    </row>
    <row r="9" spans="2:25" ht="15" x14ac:dyDescent="0.25">
      <c r="B9" s="260" t="s">
        <v>49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O9" s="230" t="s">
        <v>49</v>
      </c>
      <c r="P9" s="116"/>
      <c r="Q9" s="124"/>
      <c r="R9" s="124"/>
      <c r="S9" s="124"/>
      <c r="T9" s="124"/>
      <c r="U9" s="116"/>
      <c r="V9" s="116"/>
      <c r="W9" s="116"/>
      <c r="X9" s="116"/>
      <c r="Y9" s="116"/>
    </row>
    <row r="10" spans="2:25" x14ac:dyDescent="0.2">
      <c r="B10" s="157" t="s">
        <v>50</v>
      </c>
      <c r="C10" s="124">
        <f>'Project Glance'!B8+'Project Glance'!B9+'Project Glance'!B11</f>
        <v>103.46000000000001</v>
      </c>
      <c r="D10" s="124">
        <f>C12</f>
        <v>96.910982000000004</v>
      </c>
      <c r="E10" s="124">
        <f t="shared" ref="E10:I10" si="18">D12</f>
        <v>90.361964</v>
      </c>
      <c r="F10" s="124">
        <f t="shared" si="18"/>
        <v>83.812945999999997</v>
      </c>
      <c r="G10" s="124">
        <f t="shared" si="18"/>
        <v>77.263927999999993</v>
      </c>
      <c r="H10" s="124">
        <f t="shared" si="18"/>
        <v>70.714909999999989</v>
      </c>
      <c r="I10" s="124">
        <f t="shared" si="18"/>
        <v>64.165891999999985</v>
      </c>
      <c r="J10" s="124">
        <f t="shared" ref="J10" si="19">I12</f>
        <v>57.616873999999981</v>
      </c>
      <c r="K10" s="124">
        <f t="shared" ref="K10" si="20">J12</f>
        <v>51.067855999999978</v>
      </c>
      <c r="L10" s="124">
        <f t="shared" ref="L10" si="21">K12</f>
        <v>44.518837999999974</v>
      </c>
      <c r="O10" s="157" t="s">
        <v>50</v>
      </c>
      <c r="P10" s="124">
        <f>C10</f>
        <v>103.46000000000001</v>
      </c>
      <c r="Q10" s="124">
        <f>P12</f>
        <v>87.941000000000003</v>
      </c>
      <c r="R10" s="124">
        <f t="shared" ref="R10:V10" si="22">Q12</f>
        <v>74.749850000000009</v>
      </c>
      <c r="S10" s="124">
        <f t="shared" si="22"/>
        <v>63.537372500000011</v>
      </c>
      <c r="T10" s="124">
        <f t="shared" si="22"/>
        <v>54.006766625000012</v>
      </c>
      <c r="U10" s="124">
        <f t="shared" si="22"/>
        <v>45.905751631250013</v>
      </c>
      <c r="V10" s="124">
        <f t="shared" si="22"/>
        <v>39.019888886562512</v>
      </c>
      <c r="W10" s="124">
        <f t="shared" ref="W10" si="23">V12</f>
        <v>33.166905553578133</v>
      </c>
      <c r="X10" s="124">
        <f t="shared" ref="X10" si="24">W12</f>
        <v>28.191869720541412</v>
      </c>
      <c r="Y10" s="124">
        <f t="shared" ref="Y10" si="25">X12</f>
        <v>23.963089262460201</v>
      </c>
    </row>
    <row r="11" spans="2:25" x14ac:dyDescent="0.2">
      <c r="B11" s="157" t="s">
        <v>51</v>
      </c>
      <c r="C11" s="124">
        <f>C10*6.33%</f>
        <v>6.5490180000000002</v>
      </c>
      <c r="D11" s="124">
        <f>C11</f>
        <v>6.5490180000000002</v>
      </c>
      <c r="E11" s="124">
        <f t="shared" ref="E11:I11" si="26">D11</f>
        <v>6.5490180000000002</v>
      </c>
      <c r="F11" s="124">
        <f t="shared" si="26"/>
        <v>6.5490180000000002</v>
      </c>
      <c r="G11" s="124">
        <f t="shared" si="26"/>
        <v>6.5490180000000002</v>
      </c>
      <c r="H11" s="124">
        <f t="shared" si="26"/>
        <v>6.5490180000000002</v>
      </c>
      <c r="I11" s="124">
        <f t="shared" si="26"/>
        <v>6.5490180000000002</v>
      </c>
      <c r="J11" s="124">
        <f t="shared" ref="J11" si="27">I11</f>
        <v>6.5490180000000002</v>
      </c>
      <c r="K11" s="124">
        <f t="shared" ref="K11" si="28">J11</f>
        <v>6.5490180000000002</v>
      </c>
      <c r="L11" s="124">
        <f t="shared" ref="L11" si="29">K11</f>
        <v>6.5490180000000002</v>
      </c>
      <c r="O11" s="157" t="s">
        <v>52</v>
      </c>
      <c r="P11" s="124">
        <f>P10*15%</f>
        <v>15.519</v>
      </c>
      <c r="Q11" s="124">
        <f t="shared" ref="Q11:V11" si="30">Q10*15%</f>
        <v>13.19115</v>
      </c>
      <c r="R11" s="124">
        <f t="shared" si="30"/>
        <v>11.2124775</v>
      </c>
      <c r="S11" s="124">
        <f t="shared" si="30"/>
        <v>9.5306058750000009</v>
      </c>
      <c r="T11" s="124">
        <f t="shared" si="30"/>
        <v>8.1010149937500007</v>
      </c>
      <c r="U11" s="124">
        <f t="shared" si="30"/>
        <v>6.8858627446875014</v>
      </c>
      <c r="V11" s="124">
        <f t="shared" si="30"/>
        <v>5.852983332984377</v>
      </c>
      <c r="W11" s="124">
        <f t="shared" ref="W11:Y11" si="31">W10*15%</f>
        <v>4.9750358330367197</v>
      </c>
      <c r="X11" s="124">
        <f t="shared" si="31"/>
        <v>4.2287804580812116</v>
      </c>
      <c r="Y11" s="124">
        <f t="shared" si="31"/>
        <v>3.5944633893690301</v>
      </c>
    </row>
    <row r="12" spans="2:25" x14ac:dyDescent="0.2">
      <c r="B12" s="116" t="s">
        <v>48</v>
      </c>
      <c r="C12" s="124">
        <f>C10-C11</f>
        <v>96.910982000000004</v>
      </c>
      <c r="D12" s="124">
        <f t="shared" ref="D12:I12" si="32">D10-D11</f>
        <v>90.361964</v>
      </c>
      <c r="E12" s="124">
        <f t="shared" si="32"/>
        <v>83.812945999999997</v>
      </c>
      <c r="F12" s="124">
        <f t="shared" si="32"/>
        <v>77.263927999999993</v>
      </c>
      <c r="G12" s="124">
        <f t="shared" si="32"/>
        <v>70.714909999999989</v>
      </c>
      <c r="H12" s="124">
        <f t="shared" si="32"/>
        <v>64.165891999999985</v>
      </c>
      <c r="I12" s="124">
        <f t="shared" si="32"/>
        <v>57.616873999999981</v>
      </c>
      <c r="J12" s="124">
        <f t="shared" ref="J12:L12" si="33">J10-J11</f>
        <v>51.067855999999978</v>
      </c>
      <c r="K12" s="124">
        <f t="shared" si="33"/>
        <v>44.518837999999974</v>
      </c>
      <c r="L12" s="124">
        <f t="shared" si="33"/>
        <v>37.96981999999997</v>
      </c>
      <c r="O12" s="116" t="s">
        <v>48</v>
      </c>
      <c r="P12" s="124">
        <f t="shared" ref="P12:V12" si="34">P10-P11</f>
        <v>87.941000000000003</v>
      </c>
      <c r="Q12" s="124">
        <f t="shared" si="34"/>
        <v>74.749850000000009</v>
      </c>
      <c r="R12" s="124">
        <f t="shared" si="34"/>
        <v>63.537372500000011</v>
      </c>
      <c r="S12" s="124">
        <f t="shared" si="34"/>
        <v>54.006766625000012</v>
      </c>
      <c r="T12" s="124">
        <f t="shared" si="34"/>
        <v>45.905751631250013</v>
      </c>
      <c r="U12" s="124">
        <f t="shared" si="34"/>
        <v>39.019888886562512</v>
      </c>
      <c r="V12" s="124">
        <f t="shared" si="34"/>
        <v>33.166905553578133</v>
      </c>
      <c r="W12" s="124">
        <f t="shared" ref="W12:Y12" si="35">W10-W11</f>
        <v>28.191869720541412</v>
      </c>
      <c r="X12" s="124">
        <f t="shared" si="35"/>
        <v>23.963089262460201</v>
      </c>
      <c r="Y12" s="124">
        <f t="shared" si="35"/>
        <v>20.368625873091172</v>
      </c>
    </row>
    <row r="13" spans="2:25" x14ac:dyDescent="0.2">
      <c r="B13" s="116"/>
      <c r="C13" s="124"/>
      <c r="D13" s="124"/>
      <c r="E13" s="124"/>
      <c r="F13" s="124"/>
      <c r="G13" s="124"/>
      <c r="H13" s="124"/>
      <c r="I13" s="116"/>
      <c r="J13" s="116"/>
      <c r="K13" s="116"/>
      <c r="L13" s="116"/>
      <c r="O13" s="116"/>
      <c r="P13" s="124"/>
      <c r="Q13" s="124"/>
      <c r="R13" s="124"/>
      <c r="S13" s="124"/>
      <c r="T13" s="124"/>
      <c r="U13" s="116"/>
      <c r="V13" s="116"/>
      <c r="W13" s="116"/>
      <c r="X13" s="116"/>
      <c r="Y13" s="116"/>
    </row>
    <row r="14" spans="2:25" ht="15" x14ac:dyDescent="0.25">
      <c r="B14" s="230" t="s">
        <v>53</v>
      </c>
      <c r="C14" s="124"/>
      <c r="D14" s="124"/>
      <c r="E14" s="124"/>
      <c r="F14" s="124"/>
      <c r="G14" s="124"/>
      <c r="H14" s="124"/>
      <c r="I14" s="116"/>
      <c r="J14" s="116"/>
      <c r="K14" s="116"/>
      <c r="L14" s="116"/>
      <c r="O14" s="230" t="s">
        <v>53</v>
      </c>
      <c r="P14" s="124"/>
      <c r="Q14" s="124"/>
      <c r="R14" s="124"/>
      <c r="S14" s="124"/>
      <c r="T14" s="124"/>
      <c r="U14" s="116"/>
      <c r="V14" s="116"/>
      <c r="W14" s="116"/>
      <c r="X14" s="116"/>
      <c r="Y14" s="116"/>
    </row>
    <row r="15" spans="2:25" x14ac:dyDescent="0.2">
      <c r="B15" s="157" t="s">
        <v>50</v>
      </c>
      <c r="C15" s="199">
        <v>0</v>
      </c>
      <c r="D15" s="199">
        <f>C17</f>
        <v>0</v>
      </c>
      <c r="E15" s="199">
        <f t="shared" ref="E15:I15" si="36">D17</f>
        <v>0</v>
      </c>
      <c r="F15" s="199">
        <f t="shared" si="36"/>
        <v>0</v>
      </c>
      <c r="G15" s="199">
        <f t="shared" si="36"/>
        <v>0</v>
      </c>
      <c r="H15" s="199">
        <f t="shared" si="36"/>
        <v>0</v>
      </c>
      <c r="I15" s="199">
        <f t="shared" si="36"/>
        <v>0</v>
      </c>
      <c r="J15" s="199">
        <f t="shared" ref="J15" si="37">I17</f>
        <v>0</v>
      </c>
      <c r="K15" s="199">
        <f t="shared" ref="K15" si="38">J17</f>
        <v>0</v>
      </c>
      <c r="L15" s="199">
        <f t="shared" ref="L15" si="39">K17</f>
        <v>0</v>
      </c>
      <c r="O15" s="157" t="s">
        <v>50</v>
      </c>
      <c r="P15" s="199">
        <f>C15</f>
        <v>0</v>
      </c>
      <c r="Q15" s="199">
        <f>P17</f>
        <v>0</v>
      </c>
      <c r="R15" s="199">
        <f t="shared" ref="R15:V15" si="40">Q17</f>
        <v>0</v>
      </c>
      <c r="S15" s="199">
        <f t="shared" si="40"/>
        <v>0</v>
      </c>
      <c r="T15" s="199">
        <f t="shared" si="40"/>
        <v>0</v>
      </c>
      <c r="U15" s="199">
        <f t="shared" si="40"/>
        <v>0</v>
      </c>
      <c r="V15" s="199">
        <f t="shared" si="40"/>
        <v>0</v>
      </c>
      <c r="W15" s="199">
        <f t="shared" ref="W15" si="41">V17</f>
        <v>0</v>
      </c>
      <c r="X15" s="199">
        <f t="shared" ref="X15" si="42">W17</f>
        <v>0</v>
      </c>
      <c r="Y15" s="199">
        <f t="shared" ref="Y15" si="43">X17</f>
        <v>0</v>
      </c>
    </row>
    <row r="16" spans="2:25" x14ac:dyDescent="0.2">
      <c r="B16" s="157" t="s">
        <v>54</v>
      </c>
      <c r="C16" s="199">
        <f>C15*7.88%</f>
        <v>0</v>
      </c>
      <c r="D16" s="199">
        <f>C16</f>
        <v>0</v>
      </c>
      <c r="E16" s="199">
        <f t="shared" ref="E16:I16" si="44">D16</f>
        <v>0</v>
      </c>
      <c r="F16" s="199">
        <f t="shared" si="44"/>
        <v>0</v>
      </c>
      <c r="G16" s="199">
        <f t="shared" si="44"/>
        <v>0</v>
      </c>
      <c r="H16" s="199">
        <f t="shared" si="44"/>
        <v>0</v>
      </c>
      <c r="I16" s="199">
        <f t="shared" si="44"/>
        <v>0</v>
      </c>
      <c r="J16" s="199">
        <f t="shared" ref="J16" si="45">I16</f>
        <v>0</v>
      </c>
      <c r="K16" s="199">
        <f t="shared" ref="K16" si="46">J16</f>
        <v>0</v>
      </c>
      <c r="L16" s="199">
        <f t="shared" ref="L16" si="47">K16</f>
        <v>0</v>
      </c>
      <c r="O16" s="157" t="s">
        <v>55</v>
      </c>
      <c r="P16" s="199">
        <f>P15*30%</f>
        <v>0</v>
      </c>
      <c r="Q16" s="199">
        <f>Q15*30%</f>
        <v>0</v>
      </c>
      <c r="R16" s="199">
        <f>R15*30%</f>
        <v>0</v>
      </c>
      <c r="S16" s="199">
        <f>S15*30%</f>
        <v>0</v>
      </c>
      <c r="T16" s="199">
        <f>T15*30%</f>
        <v>0</v>
      </c>
      <c r="U16" s="199">
        <f t="shared" ref="U16:V16" si="48">U15*30%</f>
        <v>0</v>
      </c>
      <c r="V16" s="199">
        <f t="shared" si="48"/>
        <v>0</v>
      </c>
      <c r="W16" s="199">
        <f t="shared" ref="W16:Y16" si="49">W15*30%</f>
        <v>0</v>
      </c>
      <c r="X16" s="199">
        <f t="shared" si="49"/>
        <v>0</v>
      </c>
      <c r="Y16" s="199">
        <f t="shared" si="49"/>
        <v>0</v>
      </c>
    </row>
    <row r="17" spans="2:25" x14ac:dyDescent="0.2">
      <c r="B17" s="116" t="s">
        <v>48</v>
      </c>
      <c r="C17" s="199">
        <f t="shared" ref="C17:I17" si="50">C15-C16</f>
        <v>0</v>
      </c>
      <c r="D17" s="199">
        <f t="shared" si="50"/>
        <v>0</v>
      </c>
      <c r="E17" s="199">
        <f t="shared" si="50"/>
        <v>0</v>
      </c>
      <c r="F17" s="199">
        <f t="shared" si="50"/>
        <v>0</v>
      </c>
      <c r="G17" s="199">
        <f t="shared" si="50"/>
        <v>0</v>
      </c>
      <c r="H17" s="199">
        <f t="shared" si="50"/>
        <v>0</v>
      </c>
      <c r="I17" s="199">
        <f t="shared" si="50"/>
        <v>0</v>
      </c>
      <c r="J17" s="199">
        <f t="shared" ref="J17:L17" si="51">J15-J16</f>
        <v>0</v>
      </c>
      <c r="K17" s="199">
        <f t="shared" si="51"/>
        <v>0</v>
      </c>
      <c r="L17" s="199">
        <f t="shared" si="51"/>
        <v>0</v>
      </c>
      <c r="O17" s="116" t="s">
        <v>48</v>
      </c>
      <c r="P17" s="199">
        <f t="shared" ref="P17:V17" si="52">P15-P16</f>
        <v>0</v>
      </c>
      <c r="Q17" s="199">
        <f t="shared" si="52"/>
        <v>0</v>
      </c>
      <c r="R17" s="199">
        <f t="shared" si="52"/>
        <v>0</v>
      </c>
      <c r="S17" s="199">
        <f t="shared" si="52"/>
        <v>0</v>
      </c>
      <c r="T17" s="199">
        <f t="shared" si="52"/>
        <v>0</v>
      </c>
      <c r="U17" s="199">
        <f t="shared" si="52"/>
        <v>0</v>
      </c>
      <c r="V17" s="199">
        <f t="shared" si="52"/>
        <v>0</v>
      </c>
      <c r="W17" s="199">
        <f t="shared" ref="W17:Y17" si="53">W15-W16</f>
        <v>0</v>
      </c>
      <c r="X17" s="199">
        <f t="shared" si="53"/>
        <v>0</v>
      </c>
      <c r="Y17" s="199">
        <f t="shared" si="53"/>
        <v>0</v>
      </c>
    </row>
    <row r="18" spans="2:25" x14ac:dyDescent="0.2"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</row>
    <row r="19" spans="2:25" ht="15" x14ac:dyDescent="0.25">
      <c r="B19" s="230" t="s">
        <v>56</v>
      </c>
      <c r="C19" s="193">
        <f>C5+C10+C15</f>
        <v>195.64000000000001</v>
      </c>
      <c r="D19" s="193">
        <f t="shared" ref="D19:I21" si="54">D5+D10+D15</f>
        <v>186.16887600000001</v>
      </c>
      <c r="E19" s="193">
        <f t="shared" si="54"/>
        <v>176.69775200000001</v>
      </c>
      <c r="F19" s="193">
        <f t="shared" si="54"/>
        <v>167.22662800000001</v>
      </c>
      <c r="G19" s="193">
        <f t="shared" si="54"/>
        <v>157.755504</v>
      </c>
      <c r="H19" s="193">
        <f t="shared" si="54"/>
        <v>148.28438</v>
      </c>
      <c r="I19" s="193">
        <f t="shared" si="54"/>
        <v>138.813256</v>
      </c>
      <c r="J19" s="193">
        <f t="shared" ref="J19:L19" si="55">J5+J10+J15</f>
        <v>129.34213199999999</v>
      </c>
      <c r="K19" s="193">
        <f t="shared" si="55"/>
        <v>119.87100799999999</v>
      </c>
      <c r="L19" s="193">
        <f t="shared" si="55"/>
        <v>110.39988399999999</v>
      </c>
      <c r="O19" s="230" t="s">
        <v>56</v>
      </c>
      <c r="P19" s="193">
        <f>P5+P10+P15</f>
        <v>195.64000000000001</v>
      </c>
      <c r="Q19" s="193">
        <f t="shared" ref="Q19:V21" si="56">Q5+Q10+Q15</f>
        <v>170.90300000000002</v>
      </c>
      <c r="R19" s="193">
        <f t="shared" si="56"/>
        <v>149.41565000000003</v>
      </c>
      <c r="S19" s="193">
        <f t="shared" si="56"/>
        <v>130.7365925</v>
      </c>
      <c r="T19" s="193">
        <f t="shared" si="56"/>
        <v>114.48606462500001</v>
      </c>
      <c r="U19" s="193">
        <f t="shared" si="56"/>
        <v>100.33711983125002</v>
      </c>
      <c r="V19" s="193">
        <f t="shared" si="56"/>
        <v>88.008120266562514</v>
      </c>
      <c r="W19" s="193">
        <f t="shared" ref="W19:Y19" si="57">W5+W10+W15</f>
        <v>77.256313795578137</v>
      </c>
      <c r="X19" s="193">
        <f t="shared" si="57"/>
        <v>67.872337138341408</v>
      </c>
      <c r="Y19" s="193">
        <f t="shared" si="57"/>
        <v>59.675509938480204</v>
      </c>
    </row>
    <row r="20" spans="2:25" ht="15" x14ac:dyDescent="0.25">
      <c r="B20" s="230" t="s">
        <v>57</v>
      </c>
      <c r="C20" s="193">
        <f t="shared" ref="C20:G21" si="58">C6+C11+C16</f>
        <v>9.4711239999999997</v>
      </c>
      <c r="D20" s="193">
        <f t="shared" si="58"/>
        <v>9.4711239999999997</v>
      </c>
      <c r="E20" s="193">
        <f t="shared" si="58"/>
        <v>9.4711239999999997</v>
      </c>
      <c r="F20" s="193">
        <f t="shared" si="58"/>
        <v>9.4711239999999997</v>
      </c>
      <c r="G20" s="193">
        <f t="shared" si="58"/>
        <v>9.4711239999999997</v>
      </c>
      <c r="H20" s="193">
        <f t="shared" si="54"/>
        <v>9.4711239999999997</v>
      </c>
      <c r="I20" s="193">
        <f t="shared" si="54"/>
        <v>9.4711239999999997</v>
      </c>
      <c r="J20" s="193">
        <f t="shared" ref="J20:L20" si="59">J6+J11+J16</f>
        <v>9.4711239999999997</v>
      </c>
      <c r="K20" s="193">
        <f t="shared" si="59"/>
        <v>9.4711239999999997</v>
      </c>
      <c r="L20" s="193">
        <f t="shared" si="59"/>
        <v>9.4711239999999997</v>
      </c>
      <c r="O20" s="230" t="s">
        <v>57</v>
      </c>
      <c r="P20" s="193">
        <f t="shared" ref="P20:T21" si="60">P6+P11+P16</f>
        <v>24.737000000000002</v>
      </c>
      <c r="Q20" s="193">
        <f t="shared" si="60"/>
        <v>21.487349999999999</v>
      </c>
      <c r="R20" s="193">
        <f t="shared" si="60"/>
        <v>18.679057499999999</v>
      </c>
      <c r="S20" s="193">
        <f t="shared" si="60"/>
        <v>16.250527875000003</v>
      </c>
      <c r="T20" s="193">
        <f t="shared" si="60"/>
        <v>14.148944793750001</v>
      </c>
      <c r="U20" s="193">
        <f t="shared" si="56"/>
        <v>12.328999564687502</v>
      </c>
      <c r="V20" s="193">
        <f t="shared" si="56"/>
        <v>10.751806470984377</v>
      </c>
      <c r="W20" s="193">
        <f t="shared" ref="W20:Y20" si="61">W6+W11+W16</f>
        <v>9.3839766572367207</v>
      </c>
      <c r="X20" s="193">
        <f t="shared" si="61"/>
        <v>8.196827199861211</v>
      </c>
      <c r="Y20" s="193">
        <f t="shared" si="61"/>
        <v>7.1657054569710308</v>
      </c>
    </row>
    <row r="21" spans="2:25" ht="15" x14ac:dyDescent="0.25">
      <c r="B21" s="141" t="s">
        <v>48</v>
      </c>
      <c r="C21" s="193">
        <f t="shared" si="58"/>
        <v>186.16887600000001</v>
      </c>
      <c r="D21" s="193">
        <f t="shared" si="58"/>
        <v>176.69775200000001</v>
      </c>
      <c r="E21" s="193">
        <f t="shared" si="58"/>
        <v>167.22662800000001</v>
      </c>
      <c r="F21" s="193">
        <f t="shared" si="58"/>
        <v>157.755504</v>
      </c>
      <c r="G21" s="193">
        <f t="shared" si="58"/>
        <v>148.28438</v>
      </c>
      <c r="H21" s="193">
        <f t="shared" si="54"/>
        <v>138.813256</v>
      </c>
      <c r="I21" s="193">
        <f t="shared" si="54"/>
        <v>129.34213199999999</v>
      </c>
      <c r="J21" s="193">
        <f t="shared" ref="J21:L21" si="62">J7+J12+J17</f>
        <v>119.87100799999999</v>
      </c>
      <c r="K21" s="193">
        <f t="shared" si="62"/>
        <v>110.39988399999999</v>
      </c>
      <c r="L21" s="193">
        <f t="shared" si="62"/>
        <v>100.92875999999998</v>
      </c>
      <c r="O21" s="141" t="s">
        <v>48</v>
      </c>
      <c r="P21" s="193">
        <f t="shared" si="60"/>
        <v>170.90300000000002</v>
      </c>
      <c r="Q21" s="193">
        <f t="shared" si="60"/>
        <v>149.41565000000003</v>
      </c>
      <c r="R21" s="193">
        <f t="shared" si="60"/>
        <v>130.7365925</v>
      </c>
      <c r="S21" s="193">
        <f t="shared" si="60"/>
        <v>114.48606462500001</v>
      </c>
      <c r="T21" s="193">
        <f t="shared" si="60"/>
        <v>100.33711983125002</v>
      </c>
      <c r="U21" s="193">
        <f t="shared" si="56"/>
        <v>88.008120266562514</v>
      </c>
      <c r="V21" s="193">
        <f t="shared" si="56"/>
        <v>77.256313795578137</v>
      </c>
      <c r="W21" s="193">
        <f t="shared" ref="W21:Y21" si="63">W7+W12+W17</f>
        <v>67.872337138341408</v>
      </c>
      <c r="X21" s="193">
        <f t="shared" si="63"/>
        <v>59.675509938480204</v>
      </c>
      <c r="Y21" s="193">
        <f t="shared" si="63"/>
        <v>52.509804481509178</v>
      </c>
    </row>
    <row r="22" spans="2:25" x14ac:dyDescent="0.2">
      <c r="B22" s="323"/>
      <c r="C22" s="323"/>
      <c r="D22" s="323"/>
      <c r="E22" s="323"/>
      <c r="F22" s="323"/>
      <c r="G22" s="323"/>
      <c r="H22" s="323"/>
    </row>
    <row r="23" spans="2:25" x14ac:dyDescent="0.2">
      <c r="C23" s="215"/>
    </row>
    <row r="24" spans="2:25" x14ac:dyDescent="0.2">
      <c r="B24" s="133" t="s">
        <v>58</v>
      </c>
      <c r="C24" s="215"/>
    </row>
  </sheetData>
  <mergeCells count="2">
    <mergeCell ref="B2:L2"/>
    <mergeCell ref="O2:Y2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topLeftCell="A41" zoomScale="80" zoomScaleNormal="100" zoomScaleSheetLayoutView="80" workbookViewId="0">
      <selection sqref="A1:K45"/>
    </sheetView>
  </sheetViews>
  <sheetFormatPr defaultRowHeight="14.25" x14ac:dyDescent="0.2"/>
  <cols>
    <col min="1" max="1" width="42.140625" style="133" bestFit="1" customWidth="1"/>
    <col min="2" max="7" width="10.28515625" style="133" bestFit="1" customWidth="1"/>
    <col min="8" max="8" width="10.140625" style="133" bestFit="1" customWidth="1"/>
    <col min="9" max="11" width="10" style="133" customWidth="1"/>
    <col min="12" max="12" width="9.28515625" style="133" bestFit="1" customWidth="1"/>
    <col min="13" max="14" width="12.42578125" style="133" bestFit="1" customWidth="1"/>
    <col min="15" max="15" width="9.28515625" style="133" bestFit="1" customWidth="1"/>
    <col min="16" max="16" width="21.28515625" style="133" customWidth="1"/>
    <col min="17" max="17" width="21.140625" style="133" customWidth="1"/>
    <col min="18" max="16384" width="9.140625" style="133"/>
  </cols>
  <sheetData>
    <row r="1" spans="1:15" ht="15" x14ac:dyDescent="0.25">
      <c r="A1" s="114" t="s">
        <v>1</v>
      </c>
      <c r="B1" s="185" t="s">
        <v>36</v>
      </c>
      <c r="C1" s="185" t="s">
        <v>37</v>
      </c>
      <c r="D1" s="185" t="s">
        <v>38</v>
      </c>
      <c r="E1" s="185" t="s">
        <v>39</v>
      </c>
      <c r="F1" s="185" t="s">
        <v>40</v>
      </c>
      <c r="G1" s="185" t="s">
        <v>41</v>
      </c>
      <c r="H1" s="185" t="s">
        <v>42</v>
      </c>
      <c r="I1" s="185" t="s">
        <v>494</v>
      </c>
      <c r="J1" s="185" t="s">
        <v>495</v>
      </c>
      <c r="K1" s="185" t="s">
        <v>496</v>
      </c>
    </row>
    <row r="2" spans="1:15" ht="15" x14ac:dyDescent="0.25">
      <c r="A2" s="222"/>
      <c r="B2" s="223"/>
      <c r="C2" s="223"/>
      <c r="D2" s="223"/>
      <c r="E2" s="223"/>
      <c r="F2" s="223"/>
      <c r="G2" s="223"/>
      <c r="H2" s="223"/>
      <c r="I2" s="213"/>
      <c r="J2" s="213"/>
      <c r="K2" s="213"/>
    </row>
    <row r="3" spans="1:15" ht="15" x14ac:dyDescent="0.25">
      <c r="A3" s="224" t="s">
        <v>630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spans="1:15" ht="15" x14ac:dyDescent="0.25">
      <c r="A4" s="206" t="s">
        <v>59</v>
      </c>
      <c r="B4" s="368" t="s">
        <v>728</v>
      </c>
      <c r="C4" s="369"/>
      <c r="D4" s="369"/>
      <c r="E4" s="369"/>
      <c r="F4" s="369"/>
      <c r="G4" s="369"/>
      <c r="H4" s="369"/>
      <c r="I4" s="369"/>
      <c r="J4" s="369"/>
      <c r="K4" s="370"/>
      <c r="M4" s="133" t="s">
        <v>654</v>
      </c>
      <c r="N4" s="133" t="s">
        <v>655</v>
      </c>
    </row>
    <row r="5" spans="1:15" ht="15" x14ac:dyDescent="0.25">
      <c r="A5" s="206" t="s">
        <v>60</v>
      </c>
      <c r="B5" s="225">
        <f>4*10*250</f>
        <v>10000</v>
      </c>
      <c r="C5" s="225">
        <f>+B5</f>
        <v>10000</v>
      </c>
      <c r="D5" s="225">
        <f t="shared" ref="D5:K5" si="0">+C5</f>
        <v>10000</v>
      </c>
      <c r="E5" s="225">
        <f t="shared" si="0"/>
        <v>10000</v>
      </c>
      <c r="F5" s="225">
        <f t="shared" si="0"/>
        <v>10000</v>
      </c>
      <c r="G5" s="225">
        <f t="shared" si="0"/>
        <v>10000</v>
      </c>
      <c r="H5" s="225">
        <f t="shared" si="0"/>
        <v>10000</v>
      </c>
      <c r="I5" s="225">
        <f t="shared" si="0"/>
        <v>10000</v>
      </c>
      <c r="J5" s="225">
        <f t="shared" si="0"/>
        <v>10000</v>
      </c>
      <c r="K5" s="225">
        <f t="shared" si="0"/>
        <v>10000</v>
      </c>
    </row>
    <row r="6" spans="1:15" ht="15" x14ac:dyDescent="0.25">
      <c r="A6" s="206" t="s">
        <v>638</v>
      </c>
      <c r="B6" s="225">
        <f>B5*0.9</f>
        <v>9000</v>
      </c>
      <c r="C6" s="225">
        <f>+B6</f>
        <v>9000</v>
      </c>
      <c r="D6" s="225">
        <f t="shared" ref="D6:K6" si="1">+C6</f>
        <v>9000</v>
      </c>
      <c r="E6" s="225">
        <f t="shared" si="1"/>
        <v>9000</v>
      </c>
      <c r="F6" s="225">
        <f t="shared" si="1"/>
        <v>9000</v>
      </c>
      <c r="G6" s="225">
        <f t="shared" si="1"/>
        <v>9000</v>
      </c>
      <c r="H6" s="225">
        <f t="shared" si="1"/>
        <v>9000</v>
      </c>
      <c r="I6" s="225">
        <f t="shared" si="1"/>
        <v>9000</v>
      </c>
      <c r="J6" s="225">
        <f t="shared" si="1"/>
        <v>9000</v>
      </c>
      <c r="K6" s="225">
        <f t="shared" si="1"/>
        <v>9000</v>
      </c>
    </row>
    <row r="7" spans="1:15" ht="15" x14ac:dyDescent="0.25">
      <c r="A7" s="206" t="s">
        <v>639</v>
      </c>
      <c r="B7" s="225">
        <f>+B5-B6</f>
        <v>1000</v>
      </c>
      <c r="C7" s="225">
        <f>+B7</f>
        <v>1000</v>
      </c>
      <c r="D7" s="225">
        <f t="shared" ref="D7:K7" si="2">+C7</f>
        <v>1000</v>
      </c>
      <c r="E7" s="225">
        <f t="shared" si="2"/>
        <v>1000</v>
      </c>
      <c r="F7" s="225">
        <f t="shared" si="2"/>
        <v>1000</v>
      </c>
      <c r="G7" s="225">
        <f t="shared" si="2"/>
        <v>1000</v>
      </c>
      <c r="H7" s="225">
        <f t="shared" si="2"/>
        <v>1000</v>
      </c>
      <c r="I7" s="225">
        <f t="shared" si="2"/>
        <v>1000</v>
      </c>
      <c r="J7" s="225">
        <f t="shared" si="2"/>
        <v>1000</v>
      </c>
      <c r="K7" s="225">
        <f t="shared" si="2"/>
        <v>1000</v>
      </c>
    </row>
    <row r="8" spans="1:15" ht="15" x14ac:dyDescent="0.25">
      <c r="A8" s="206" t="s">
        <v>158</v>
      </c>
      <c r="B8" s="226">
        <v>0.5</v>
      </c>
      <c r="C8" s="227">
        <f>B8+5%</f>
        <v>0.55000000000000004</v>
      </c>
      <c r="D8" s="227">
        <f t="shared" ref="D8" si="3">C8+5%</f>
        <v>0.60000000000000009</v>
      </c>
      <c r="E8" s="227">
        <f t="shared" ref="E8:K8" si="4">D8+5%</f>
        <v>0.65000000000000013</v>
      </c>
      <c r="F8" s="227">
        <f t="shared" si="4"/>
        <v>0.70000000000000018</v>
      </c>
      <c r="G8" s="227">
        <f t="shared" si="4"/>
        <v>0.75000000000000022</v>
      </c>
      <c r="H8" s="227">
        <f t="shared" si="4"/>
        <v>0.80000000000000027</v>
      </c>
      <c r="I8" s="227">
        <f t="shared" si="4"/>
        <v>0.85000000000000031</v>
      </c>
      <c r="J8" s="227">
        <f t="shared" si="4"/>
        <v>0.90000000000000036</v>
      </c>
      <c r="K8" s="227">
        <f t="shared" si="4"/>
        <v>0.9500000000000004</v>
      </c>
    </row>
    <row r="9" spans="1:15" ht="15" x14ac:dyDescent="0.25">
      <c r="A9" s="206" t="s">
        <v>159</v>
      </c>
      <c r="B9" s="259">
        <v>0.5</v>
      </c>
      <c r="C9" s="227">
        <f>B9+5%</f>
        <v>0.55000000000000004</v>
      </c>
      <c r="D9" s="227">
        <f t="shared" ref="D9" si="5">C9+5%</f>
        <v>0.60000000000000009</v>
      </c>
      <c r="E9" s="227">
        <f t="shared" ref="E9:K9" si="6">D9+5%</f>
        <v>0.65000000000000013</v>
      </c>
      <c r="F9" s="227">
        <f t="shared" si="6"/>
        <v>0.70000000000000018</v>
      </c>
      <c r="G9" s="227">
        <f t="shared" si="6"/>
        <v>0.75000000000000022</v>
      </c>
      <c r="H9" s="227">
        <f t="shared" si="6"/>
        <v>0.80000000000000027</v>
      </c>
      <c r="I9" s="227">
        <f t="shared" si="6"/>
        <v>0.85000000000000031</v>
      </c>
      <c r="J9" s="227">
        <f t="shared" si="6"/>
        <v>0.90000000000000036</v>
      </c>
      <c r="K9" s="227">
        <f t="shared" si="6"/>
        <v>0.9500000000000004</v>
      </c>
    </row>
    <row r="10" spans="1:15" x14ac:dyDescent="0.2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5" ht="15" x14ac:dyDescent="0.25">
      <c r="A11" s="141" t="s">
        <v>160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5" x14ac:dyDescent="0.2">
      <c r="A12" s="116" t="s">
        <v>616</v>
      </c>
      <c r="B12" s="116">
        <f>B6*B8</f>
        <v>4500</v>
      </c>
      <c r="C12" s="116">
        <f t="shared" ref="C12:K12" si="7">C6*C8</f>
        <v>4950</v>
      </c>
      <c r="D12" s="116">
        <f t="shared" si="7"/>
        <v>5400.0000000000009</v>
      </c>
      <c r="E12" s="116">
        <f t="shared" si="7"/>
        <v>5850.0000000000009</v>
      </c>
      <c r="F12" s="116">
        <f t="shared" si="7"/>
        <v>6300.0000000000018</v>
      </c>
      <c r="G12" s="116">
        <f t="shared" si="7"/>
        <v>6750.0000000000018</v>
      </c>
      <c r="H12" s="116">
        <f t="shared" si="7"/>
        <v>7200.0000000000027</v>
      </c>
      <c r="I12" s="116">
        <f t="shared" si="7"/>
        <v>7650.0000000000027</v>
      </c>
      <c r="J12" s="116">
        <f t="shared" si="7"/>
        <v>8100.0000000000036</v>
      </c>
      <c r="K12" s="116">
        <f t="shared" si="7"/>
        <v>8550.0000000000036</v>
      </c>
    </row>
    <row r="13" spans="1:15" x14ac:dyDescent="0.2">
      <c r="A13" s="228" t="s">
        <v>61</v>
      </c>
      <c r="B13" s="229">
        <v>1200</v>
      </c>
      <c r="C13" s="216">
        <f t="shared" ref="C13:H13" si="8">ROUND(B13*1.05,0)</f>
        <v>1260</v>
      </c>
      <c r="D13" s="216">
        <f t="shared" si="8"/>
        <v>1323</v>
      </c>
      <c r="E13" s="216">
        <f t="shared" si="8"/>
        <v>1389</v>
      </c>
      <c r="F13" s="216">
        <f t="shared" si="8"/>
        <v>1458</v>
      </c>
      <c r="G13" s="216">
        <f t="shared" si="8"/>
        <v>1531</v>
      </c>
      <c r="H13" s="216">
        <f t="shared" si="8"/>
        <v>1608</v>
      </c>
      <c r="I13" s="216">
        <f t="shared" ref="I13" si="9">ROUND(H13*1.05,0)</f>
        <v>1688</v>
      </c>
      <c r="J13" s="216">
        <f t="shared" ref="J13" si="10">ROUND(I13*1.05,0)</f>
        <v>1772</v>
      </c>
      <c r="K13" s="216">
        <f t="shared" ref="K13" si="11">ROUND(J13*1.05,0)</f>
        <v>1861</v>
      </c>
      <c r="M13" s="215"/>
    </row>
    <row r="14" spans="1:15" ht="15" x14ac:dyDescent="0.25">
      <c r="A14" s="187" t="s">
        <v>72</v>
      </c>
      <c r="B14" s="219">
        <f>B12*B13/100000</f>
        <v>54</v>
      </c>
      <c r="C14" s="219">
        <f t="shared" ref="C14:K14" si="12">C12*C13/100000</f>
        <v>62.37</v>
      </c>
      <c r="D14" s="219">
        <f t="shared" si="12"/>
        <v>71.442000000000007</v>
      </c>
      <c r="E14" s="219">
        <f t="shared" si="12"/>
        <v>81.256500000000003</v>
      </c>
      <c r="F14" s="219">
        <f t="shared" si="12"/>
        <v>91.854000000000013</v>
      </c>
      <c r="G14" s="219">
        <f t="shared" si="12"/>
        <v>103.34250000000002</v>
      </c>
      <c r="H14" s="219">
        <f t="shared" si="12"/>
        <v>115.77600000000004</v>
      </c>
      <c r="I14" s="219">
        <f t="shared" si="12"/>
        <v>129.13200000000003</v>
      </c>
      <c r="J14" s="219">
        <f t="shared" si="12"/>
        <v>143.53200000000007</v>
      </c>
      <c r="K14" s="219">
        <f t="shared" si="12"/>
        <v>159.11550000000008</v>
      </c>
      <c r="O14" s="133">
        <f>375000</f>
        <v>375000</v>
      </c>
    </row>
    <row r="15" spans="1:15" ht="15" x14ac:dyDescent="0.25">
      <c r="A15" s="187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O15" s="133">
        <f>O14/25</f>
        <v>15000</v>
      </c>
    </row>
    <row r="16" spans="1:15" ht="15" x14ac:dyDescent="0.25">
      <c r="A16" s="187" t="s">
        <v>161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6" x14ac:dyDescent="0.2">
      <c r="A17" s="116" t="s">
        <v>717</v>
      </c>
      <c r="B17" s="116">
        <f>ROUND(B7*B9*$L17,2)</f>
        <v>350</v>
      </c>
      <c r="C17" s="116">
        <f t="shared" ref="C17:K17" si="13">ROUND(C7*C9*$L17,2)</f>
        <v>385</v>
      </c>
      <c r="D17" s="116">
        <f t="shared" si="13"/>
        <v>420</v>
      </c>
      <c r="E17" s="116">
        <f t="shared" si="13"/>
        <v>455</v>
      </c>
      <c r="F17" s="116">
        <f t="shared" si="13"/>
        <v>490</v>
      </c>
      <c r="G17" s="116">
        <f t="shared" si="13"/>
        <v>525</v>
      </c>
      <c r="H17" s="116">
        <f t="shared" si="13"/>
        <v>560</v>
      </c>
      <c r="I17" s="116">
        <f t="shared" si="13"/>
        <v>595</v>
      </c>
      <c r="J17" s="116">
        <f t="shared" si="13"/>
        <v>630</v>
      </c>
      <c r="K17" s="116">
        <f t="shared" si="13"/>
        <v>665</v>
      </c>
      <c r="L17" s="239">
        <v>0.7</v>
      </c>
    </row>
    <row r="18" spans="1:16" x14ac:dyDescent="0.2">
      <c r="A18" s="116" t="s">
        <v>714</v>
      </c>
      <c r="B18" s="116">
        <f>ROUND(B7*B9*$L18,2)</f>
        <v>150</v>
      </c>
      <c r="C18" s="116">
        <f t="shared" ref="C18:K18" si="14">ROUND(C7*C9*$L18,2)</f>
        <v>165</v>
      </c>
      <c r="D18" s="116">
        <f t="shared" si="14"/>
        <v>180</v>
      </c>
      <c r="E18" s="116">
        <f t="shared" si="14"/>
        <v>195</v>
      </c>
      <c r="F18" s="116">
        <f t="shared" si="14"/>
        <v>210</v>
      </c>
      <c r="G18" s="116">
        <f t="shared" si="14"/>
        <v>225</v>
      </c>
      <c r="H18" s="116">
        <f t="shared" si="14"/>
        <v>240</v>
      </c>
      <c r="I18" s="116">
        <f t="shared" si="14"/>
        <v>255</v>
      </c>
      <c r="J18" s="116">
        <f t="shared" si="14"/>
        <v>270</v>
      </c>
      <c r="K18" s="116">
        <f t="shared" si="14"/>
        <v>285</v>
      </c>
      <c r="L18" s="239">
        <v>0.3</v>
      </c>
    </row>
    <row r="19" spans="1:16" ht="15" hidden="1" x14ac:dyDescent="0.25">
      <c r="A19" s="141" t="s">
        <v>62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P19" s="321"/>
    </row>
    <row r="20" spans="1:16" hidden="1" x14ac:dyDescent="0.2">
      <c r="A20" s="115" t="s">
        <v>651</v>
      </c>
      <c r="B20" s="214">
        <f>B17*$L$20</f>
        <v>175</v>
      </c>
      <c r="C20" s="214">
        <f t="shared" ref="C20:K20" si="15">C17*$L$20</f>
        <v>192.5</v>
      </c>
      <c r="D20" s="214">
        <f t="shared" si="15"/>
        <v>210</v>
      </c>
      <c r="E20" s="214">
        <f t="shared" si="15"/>
        <v>227.5</v>
      </c>
      <c r="F20" s="214">
        <f t="shared" si="15"/>
        <v>245</v>
      </c>
      <c r="G20" s="214">
        <f t="shared" si="15"/>
        <v>262.5</v>
      </c>
      <c r="H20" s="214">
        <f t="shared" si="15"/>
        <v>280</v>
      </c>
      <c r="I20" s="214">
        <f t="shared" si="15"/>
        <v>297.5</v>
      </c>
      <c r="J20" s="214">
        <f t="shared" si="15"/>
        <v>315</v>
      </c>
      <c r="K20" s="214">
        <f t="shared" si="15"/>
        <v>332.5</v>
      </c>
      <c r="L20" s="322">
        <v>0.5</v>
      </c>
    </row>
    <row r="21" spans="1:16" hidden="1" x14ac:dyDescent="0.2">
      <c r="A21" s="115" t="s">
        <v>618</v>
      </c>
      <c r="B21" s="214">
        <f>B17*$L$21</f>
        <v>70</v>
      </c>
      <c r="C21" s="214">
        <f t="shared" ref="C21:K21" si="16">C17*$L$21</f>
        <v>77</v>
      </c>
      <c r="D21" s="214">
        <f t="shared" si="16"/>
        <v>84</v>
      </c>
      <c r="E21" s="214">
        <f t="shared" si="16"/>
        <v>91</v>
      </c>
      <c r="F21" s="214">
        <f t="shared" si="16"/>
        <v>98</v>
      </c>
      <c r="G21" s="214">
        <f t="shared" si="16"/>
        <v>105</v>
      </c>
      <c r="H21" s="214">
        <f t="shared" si="16"/>
        <v>112</v>
      </c>
      <c r="I21" s="214">
        <f t="shared" si="16"/>
        <v>119</v>
      </c>
      <c r="J21" s="214">
        <f t="shared" si="16"/>
        <v>126</v>
      </c>
      <c r="K21" s="214">
        <f t="shared" si="16"/>
        <v>133</v>
      </c>
      <c r="L21" s="322">
        <v>0.2</v>
      </c>
    </row>
    <row r="22" spans="1:16" hidden="1" x14ac:dyDescent="0.2">
      <c r="A22" s="115" t="s">
        <v>560</v>
      </c>
      <c r="B22" s="214">
        <f>ROUND(B17*$L$22,0)</f>
        <v>70</v>
      </c>
      <c r="C22" s="214">
        <f t="shared" ref="C22:K22" si="17">ROUND(C17*$L$22,0)</f>
        <v>77</v>
      </c>
      <c r="D22" s="214">
        <f t="shared" si="17"/>
        <v>84</v>
      </c>
      <c r="E22" s="214">
        <f t="shared" si="17"/>
        <v>91</v>
      </c>
      <c r="F22" s="214">
        <f t="shared" si="17"/>
        <v>98</v>
      </c>
      <c r="G22" s="214">
        <f t="shared" si="17"/>
        <v>105</v>
      </c>
      <c r="H22" s="214">
        <f t="shared" si="17"/>
        <v>112</v>
      </c>
      <c r="I22" s="214">
        <f t="shared" si="17"/>
        <v>119</v>
      </c>
      <c r="J22" s="214">
        <f t="shared" si="17"/>
        <v>126</v>
      </c>
      <c r="K22" s="214">
        <f t="shared" si="17"/>
        <v>133</v>
      </c>
      <c r="L22" s="322">
        <v>0.2</v>
      </c>
    </row>
    <row r="23" spans="1:16" hidden="1" x14ac:dyDescent="0.2">
      <c r="A23" s="115" t="s">
        <v>619</v>
      </c>
      <c r="B23" s="214">
        <f>B17*$L$23</f>
        <v>28</v>
      </c>
      <c r="C23" s="214">
        <f t="shared" ref="C23:K23" si="18">C17*$L$23</f>
        <v>30.8</v>
      </c>
      <c r="D23" s="214">
        <f t="shared" si="18"/>
        <v>33.6</v>
      </c>
      <c r="E23" s="214">
        <f t="shared" si="18"/>
        <v>36.4</v>
      </c>
      <c r="F23" s="214">
        <f t="shared" si="18"/>
        <v>39.200000000000003</v>
      </c>
      <c r="G23" s="214">
        <f t="shared" si="18"/>
        <v>42</v>
      </c>
      <c r="H23" s="214">
        <f t="shared" si="18"/>
        <v>44.800000000000004</v>
      </c>
      <c r="I23" s="214">
        <f t="shared" si="18"/>
        <v>47.6</v>
      </c>
      <c r="J23" s="214">
        <f t="shared" si="18"/>
        <v>50.4</v>
      </c>
      <c r="K23" s="214">
        <f t="shared" si="18"/>
        <v>53.2</v>
      </c>
      <c r="L23" s="322">
        <v>0.08</v>
      </c>
    </row>
    <row r="24" spans="1:16" hidden="1" x14ac:dyDescent="0.2">
      <c r="A24" s="115" t="s">
        <v>63</v>
      </c>
      <c r="B24" s="214">
        <v>0</v>
      </c>
      <c r="C24" s="214">
        <f t="shared" ref="C24:H24" si="19">C12*$L$24</f>
        <v>0</v>
      </c>
      <c r="D24" s="214">
        <f t="shared" si="19"/>
        <v>0</v>
      </c>
      <c r="E24" s="214">
        <f t="shared" si="19"/>
        <v>0</v>
      </c>
      <c r="F24" s="214">
        <f t="shared" si="19"/>
        <v>0</v>
      </c>
      <c r="G24" s="214">
        <f t="shared" si="19"/>
        <v>0</v>
      </c>
      <c r="H24" s="214">
        <f t="shared" si="19"/>
        <v>0</v>
      </c>
      <c r="I24" s="214"/>
      <c r="J24" s="214"/>
      <c r="K24" s="214"/>
      <c r="L24" s="239">
        <v>0</v>
      </c>
    </row>
    <row r="25" spans="1:16" x14ac:dyDescent="0.2">
      <c r="A25" s="115"/>
      <c r="B25" s="214">
        <f>+B17+B18</f>
        <v>500</v>
      </c>
      <c r="C25" s="214">
        <f t="shared" ref="C25:K25" si="20">+C17+C18</f>
        <v>550</v>
      </c>
      <c r="D25" s="214">
        <f t="shared" si="20"/>
        <v>600</v>
      </c>
      <c r="E25" s="214">
        <f t="shared" si="20"/>
        <v>650</v>
      </c>
      <c r="F25" s="214">
        <f t="shared" si="20"/>
        <v>700</v>
      </c>
      <c r="G25" s="214">
        <f t="shared" si="20"/>
        <v>750</v>
      </c>
      <c r="H25" s="214">
        <f t="shared" si="20"/>
        <v>800</v>
      </c>
      <c r="I25" s="214">
        <f t="shared" si="20"/>
        <v>850</v>
      </c>
      <c r="J25" s="214">
        <f t="shared" si="20"/>
        <v>900</v>
      </c>
      <c r="K25" s="214">
        <f t="shared" si="20"/>
        <v>950</v>
      </c>
      <c r="L25" s="239"/>
    </row>
    <row r="26" spans="1:16" ht="15" x14ac:dyDescent="0.25">
      <c r="A26" s="141" t="s">
        <v>718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6" x14ac:dyDescent="0.2">
      <c r="A27" s="115" t="str">
        <f>+A20</f>
        <v>Rice</v>
      </c>
      <c r="B27" s="214">
        <f>ROUND(B$17*$L$27,0)</f>
        <v>168</v>
      </c>
      <c r="C27" s="214">
        <f t="shared" ref="C27:K27" si="21">ROUND(C$17*$L$27,0)</f>
        <v>185</v>
      </c>
      <c r="D27" s="214">
        <f t="shared" si="21"/>
        <v>202</v>
      </c>
      <c r="E27" s="214">
        <f t="shared" si="21"/>
        <v>218</v>
      </c>
      <c r="F27" s="214">
        <f t="shared" si="21"/>
        <v>235</v>
      </c>
      <c r="G27" s="214">
        <f t="shared" si="21"/>
        <v>252</v>
      </c>
      <c r="H27" s="214">
        <f t="shared" si="21"/>
        <v>269</v>
      </c>
      <c r="I27" s="214">
        <f t="shared" si="21"/>
        <v>286</v>
      </c>
      <c r="J27" s="214">
        <f t="shared" si="21"/>
        <v>302</v>
      </c>
      <c r="K27" s="214">
        <f t="shared" si="21"/>
        <v>319</v>
      </c>
      <c r="L27" s="322">
        <v>0.48</v>
      </c>
      <c r="M27" s="215">
        <f>+'CS-FG'!C35</f>
        <v>27000</v>
      </c>
      <c r="N27" s="215">
        <f>M27*L27</f>
        <v>12960</v>
      </c>
    </row>
    <row r="28" spans="1:16" x14ac:dyDescent="0.2">
      <c r="A28" s="115" t="str">
        <f>+A21</f>
        <v>Husk</v>
      </c>
      <c r="B28" s="214">
        <f>ROUND(B$17*$L$28,0)</f>
        <v>70</v>
      </c>
      <c r="C28" s="214">
        <f t="shared" ref="C28:K28" si="22">ROUND(C$17*$L$28,0)</f>
        <v>77</v>
      </c>
      <c r="D28" s="214">
        <f t="shared" si="22"/>
        <v>84</v>
      </c>
      <c r="E28" s="214">
        <f t="shared" si="22"/>
        <v>91</v>
      </c>
      <c r="F28" s="214">
        <f t="shared" si="22"/>
        <v>98</v>
      </c>
      <c r="G28" s="214">
        <f t="shared" si="22"/>
        <v>105</v>
      </c>
      <c r="H28" s="214">
        <f t="shared" si="22"/>
        <v>112</v>
      </c>
      <c r="I28" s="214">
        <f t="shared" si="22"/>
        <v>119</v>
      </c>
      <c r="J28" s="214">
        <f t="shared" si="22"/>
        <v>126</v>
      </c>
      <c r="K28" s="214">
        <f t="shared" si="22"/>
        <v>133</v>
      </c>
      <c r="L28" s="322">
        <v>0.2</v>
      </c>
      <c r="M28" s="215">
        <f>+'CS-FG'!C36</f>
        <v>2000</v>
      </c>
      <c r="N28" s="215">
        <f t="shared" ref="N28:N30" si="23">M28*L28</f>
        <v>400</v>
      </c>
    </row>
    <row r="29" spans="1:16" x14ac:dyDescent="0.2">
      <c r="A29" s="115" t="str">
        <f>+A22</f>
        <v>Broken</v>
      </c>
      <c r="B29" s="214">
        <f>ROUND(B$17*$L$29,0)</f>
        <v>35</v>
      </c>
      <c r="C29" s="214">
        <f t="shared" ref="C29:K29" si="24">ROUND(C$17*$L$29,0)</f>
        <v>39</v>
      </c>
      <c r="D29" s="214">
        <f t="shared" si="24"/>
        <v>42</v>
      </c>
      <c r="E29" s="214">
        <f t="shared" si="24"/>
        <v>46</v>
      </c>
      <c r="F29" s="214">
        <f t="shared" si="24"/>
        <v>49</v>
      </c>
      <c r="G29" s="214">
        <f t="shared" si="24"/>
        <v>53</v>
      </c>
      <c r="H29" s="214">
        <f t="shared" si="24"/>
        <v>56</v>
      </c>
      <c r="I29" s="214">
        <f t="shared" si="24"/>
        <v>60</v>
      </c>
      <c r="J29" s="214">
        <f t="shared" si="24"/>
        <v>63</v>
      </c>
      <c r="K29" s="214">
        <f t="shared" si="24"/>
        <v>67</v>
      </c>
      <c r="L29" s="322">
        <v>0.1</v>
      </c>
      <c r="M29" s="215">
        <f>+'CS-FG'!C37</f>
        <v>18000</v>
      </c>
      <c r="N29" s="215">
        <f t="shared" si="23"/>
        <v>1800</v>
      </c>
    </row>
    <row r="30" spans="1:16" x14ac:dyDescent="0.2">
      <c r="A30" s="115" t="str">
        <f>+A23</f>
        <v>Bran</v>
      </c>
      <c r="B30" s="214">
        <f>ROUND(B$17*$L$30,0)</f>
        <v>25</v>
      </c>
      <c r="C30" s="214">
        <f t="shared" ref="C30:K30" si="25">ROUND(C$17*$L$30,0)</f>
        <v>27</v>
      </c>
      <c r="D30" s="214">
        <f t="shared" si="25"/>
        <v>29</v>
      </c>
      <c r="E30" s="214">
        <f t="shared" si="25"/>
        <v>32</v>
      </c>
      <c r="F30" s="214">
        <f t="shared" si="25"/>
        <v>34</v>
      </c>
      <c r="G30" s="214">
        <f t="shared" si="25"/>
        <v>37</v>
      </c>
      <c r="H30" s="214">
        <f t="shared" si="25"/>
        <v>39</v>
      </c>
      <c r="I30" s="214">
        <f t="shared" si="25"/>
        <v>42</v>
      </c>
      <c r="J30" s="214">
        <f t="shared" si="25"/>
        <v>44</v>
      </c>
      <c r="K30" s="214">
        <f t="shared" si="25"/>
        <v>47</v>
      </c>
      <c r="L30" s="322">
        <v>7.0000000000000007E-2</v>
      </c>
      <c r="M30" s="215">
        <f>+'CS-FG'!C38</f>
        <v>12000</v>
      </c>
      <c r="N30" s="215">
        <f t="shared" si="23"/>
        <v>840.00000000000011</v>
      </c>
    </row>
    <row r="31" spans="1:16" x14ac:dyDescent="0.2">
      <c r="A31" s="115" t="s">
        <v>726</v>
      </c>
      <c r="B31" s="214">
        <f>ROUND(B$17*$L$31,0)</f>
        <v>18</v>
      </c>
      <c r="C31" s="214">
        <f t="shared" ref="C31:K31" si="26">ROUND(C$17*$L$31,0)</f>
        <v>19</v>
      </c>
      <c r="D31" s="214">
        <f t="shared" si="26"/>
        <v>21</v>
      </c>
      <c r="E31" s="214">
        <f t="shared" si="26"/>
        <v>23</v>
      </c>
      <c r="F31" s="214">
        <f t="shared" si="26"/>
        <v>25</v>
      </c>
      <c r="G31" s="214">
        <f t="shared" si="26"/>
        <v>26</v>
      </c>
      <c r="H31" s="214">
        <f t="shared" si="26"/>
        <v>28</v>
      </c>
      <c r="I31" s="214">
        <f t="shared" si="26"/>
        <v>30</v>
      </c>
      <c r="J31" s="214">
        <f t="shared" si="26"/>
        <v>32</v>
      </c>
      <c r="K31" s="214">
        <f t="shared" si="26"/>
        <v>33</v>
      </c>
      <c r="L31" s="322">
        <v>0.05</v>
      </c>
      <c r="M31" s="215">
        <f>+'CS-FG'!C39</f>
        <v>12000</v>
      </c>
      <c r="N31" s="215"/>
    </row>
    <row r="32" spans="1:16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1:14" ht="15" x14ac:dyDescent="0.25">
      <c r="A33" s="141" t="s">
        <v>715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4" x14ac:dyDescent="0.2">
      <c r="A34" s="115" t="str">
        <f>+A27</f>
        <v>Rice</v>
      </c>
      <c r="B34" s="214">
        <f>ROUND(B$18*$L34,0)</f>
        <v>75</v>
      </c>
      <c r="C34" s="214">
        <f t="shared" ref="C34:K37" si="27">ROUND(C$18*$L34,0)</f>
        <v>83</v>
      </c>
      <c r="D34" s="214">
        <f t="shared" si="27"/>
        <v>90</v>
      </c>
      <c r="E34" s="214">
        <f t="shared" si="27"/>
        <v>98</v>
      </c>
      <c r="F34" s="214">
        <f t="shared" si="27"/>
        <v>105</v>
      </c>
      <c r="G34" s="214">
        <f t="shared" si="27"/>
        <v>113</v>
      </c>
      <c r="H34" s="214">
        <f t="shared" si="27"/>
        <v>120</v>
      </c>
      <c r="I34" s="214">
        <f t="shared" si="27"/>
        <v>128</v>
      </c>
      <c r="J34" s="214">
        <f t="shared" si="27"/>
        <v>135</v>
      </c>
      <c r="K34" s="214">
        <f t="shared" si="27"/>
        <v>143</v>
      </c>
      <c r="L34" s="322">
        <v>0.5</v>
      </c>
      <c r="M34" s="215">
        <f>+'CS-FG'!C93</f>
        <v>45000</v>
      </c>
      <c r="N34" s="215">
        <f>M34*L34</f>
        <v>22500</v>
      </c>
    </row>
    <row r="35" spans="1:14" x14ac:dyDescent="0.2">
      <c r="A35" s="115" t="str">
        <f>+A28</f>
        <v>Husk</v>
      </c>
      <c r="B35" s="214">
        <f>ROUND(B$18*$L35,0)</f>
        <v>30</v>
      </c>
      <c r="C35" s="214">
        <f t="shared" si="27"/>
        <v>33</v>
      </c>
      <c r="D35" s="214">
        <f t="shared" si="27"/>
        <v>36</v>
      </c>
      <c r="E35" s="214">
        <f t="shared" si="27"/>
        <v>39</v>
      </c>
      <c r="F35" s="214">
        <f t="shared" si="27"/>
        <v>42</v>
      </c>
      <c r="G35" s="214">
        <f t="shared" si="27"/>
        <v>45</v>
      </c>
      <c r="H35" s="214">
        <f t="shared" si="27"/>
        <v>48</v>
      </c>
      <c r="I35" s="214">
        <f t="shared" si="27"/>
        <v>51</v>
      </c>
      <c r="J35" s="214">
        <f t="shared" si="27"/>
        <v>54</v>
      </c>
      <c r="K35" s="214">
        <f t="shared" si="27"/>
        <v>57</v>
      </c>
      <c r="L35" s="322">
        <v>0.2</v>
      </c>
      <c r="M35" s="215">
        <f>+'CS-FG'!C94</f>
        <v>2000</v>
      </c>
      <c r="N35" s="215">
        <f t="shared" ref="N35:N37" si="28">M35*L35</f>
        <v>400</v>
      </c>
    </row>
    <row r="36" spans="1:14" x14ac:dyDescent="0.2">
      <c r="A36" s="115" t="str">
        <f>+A29</f>
        <v>Broken</v>
      </c>
      <c r="B36" s="214">
        <f>ROUND(B$18*$L36,0)</f>
        <v>18</v>
      </c>
      <c r="C36" s="214">
        <f t="shared" si="27"/>
        <v>20</v>
      </c>
      <c r="D36" s="214">
        <f t="shared" si="27"/>
        <v>22</v>
      </c>
      <c r="E36" s="214">
        <f t="shared" si="27"/>
        <v>23</v>
      </c>
      <c r="F36" s="214">
        <f t="shared" si="27"/>
        <v>25</v>
      </c>
      <c r="G36" s="214">
        <f t="shared" si="27"/>
        <v>27</v>
      </c>
      <c r="H36" s="214">
        <f t="shared" si="27"/>
        <v>29</v>
      </c>
      <c r="I36" s="214">
        <f t="shared" si="27"/>
        <v>31</v>
      </c>
      <c r="J36" s="214">
        <f t="shared" si="27"/>
        <v>32</v>
      </c>
      <c r="K36" s="214">
        <f t="shared" si="27"/>
        <v>34</v>
      </c>
      <c r="L36" s="322">
        <v>0.12</v>
      </c>
      <c r="M36" s="215">
        <f>+'CS-FG'!C95</f>
        <v>22000</v>
      </c>
      <c r="N36" s="215">
        <f t="shared" si="28"/>
        <v>2640</v>
      </c>
    </row>
    <row r="37" spans="1:14" x14ac:dyDescent="0.2">
      <c r="A37" s="115" t="str">
        <f>+A30</f>
        <v>Bran</v>
      </c>
      <c r="B37" s="214">
        <f>ROUND(B$18*$L37,0)</f>
        <v>12</v>
      </c>
      <c r="C37" s="214">
        <f t="shared" si="27"/>
        <v>13</v>
      </c>
      <c r="D37" s="214">
        <f t="shared" si="27"/>
        <v>14</v>
      </c>
      <c r="E37" s="214">
        <f t="shared" si="27"/>
        <v>16</v>
      </c>
      <c r="F37" s="214">
        <f t="shared" si="27"/>
        <v>17</v>
      </c>
      <c r="G37" s="214">
        <f t="shared" si="27"/>
        <v>18</v>
      </c>
      <c r="H37" s="214">
        <f t="shared" si="27"/>
        <v>19</v>
      </c>
      <c r="I37" s="214">
        <f t="shared" si="27"/>
        <v>20</v>
      </c>
      <c r="J37" s="214">
        <f t="shared" si="27"/>
        <v>22</v>
      </c>
      <c r="K37" s="214">
        <f t="shared" si="27"/>
        <v>23</v>
      </c>
      <c r="L37" s="322">
        <v>0.08</v>
      </c>
      <c r="M37" s="215">
        <f>+'CS-FG'!C96</f>
        <v>12000</v>
      </c>
      <c r="N37" s="215">
        <f t="shared" si="28"/>
        <v>960</v>
      </c>
    </row>
    <row r="38" spans="1:14" x14ac:dyDescent="0.2">
      <c r="A38" s="115" t="s">
        <v>726</v>
      </c>
      <c r="B38" s="214">
        <f>ROUND(B$18*$L$38,0)</f>
        <v>8</v>
      </c>
      <c r="C38" s="214">
        <f t="shared" ref="C38:K38" si="29">ROUND(C$18*$L$38,0)</f>
        <v>8</v>
      </c>
      <c r="D38" s="214">
        <f t="shared" si="29"/>
        <v>9</v>
      </c>
      <c r="E38" s="214">
        <f t="shared" si="29"/>
        <v>10</v>
      </c>
      <c r="F38" s="214">
        <f t="shared" si="29"/>
        <v>11</v>
      </c>
      <c r="G38" s="214">
        <f t="shared" si="29"/>
        <v>11</v>
      </c>
      <c r="H38" s="214">
        <f t="shared" si="29"/>
        <v>12</v>
      </c>
      <c r="I38" s="214">
        <f t="shared" si="29"/>
        <v>13</v>
      </c>
      <c r="J38" s="214">
        <f t="shared" si="29"/>
        <v>14</v>
      </c>
      <c r="K38" s="214">
        <f t="shared" si="29"/>
        <v>14</v>
      </c>
      <c r="L38" s="322">
        <v>0.05</v>
      </c>
      <c r="M38" s="215">
        <f>+'CS-FG'!C97</f>
        <v>12000</v>
      </c>
      <c r="N38" s="215"/>
    </row>
    <row r="39" spans="1:14" x14ac:dyDescent="0.2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</row>
    <row r="40" spans="1:14" x14ac:dyDescent="0.2">
      <c r="A40" s="116" t="s">
        <v>617</v>
      </c>
      <c r="B40" s="116">
        <f>4*10</f>
        <v>40</v>
      </c>
      <c r="C40" s="116">
        <f>+B40</f>
        <v>40</v>
      </c>
      <c r="D40" s="116">
        <f t="shared" ref="D40:K40" si="30">+C40</f>
        <v>40</v>
      </c>
      <c r="E40" s="116">
        <f t="shared" si="30"/>
        <v>40</v>
      </c>
      <c r="F40" s="116">
        <f t="shared" si="30"/>
        <v>40</v>
      </c>
      <c r="G40" s="116">
        <f t="shared" si="30"/>
        <v>40</v>
      </c>
      <c r="H40" s="116">
        <f t="shared" si="30"/>
        <v>40</v>
      </c>
      <c r="I40" s="116">
        <f t="shared" si="30"/>
        <v>40</v>
      </c>
      <c r="J40" s="116">
        <f t="shared" si="30"/>
        <v>40</v>
      </c>
      <c r="K40" s="116">
        <f t="shared" si="30"/>
        <v>40</v>
      </c>
      <c r="N40" s="215">
        <f>SUM(N27:N32)</f>
        <v>16000</v>
      </c>
    </row>
    <row r="41" spans="1:14" x14ac:dyDescent="0.2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</row>
    <row r="42" spans="1:14" x14ac:dyDescent="0.2">
      <c r="A42" s="115" t="s">
        <v>157</v>
      </c>
      <c r="B42" s="116">
        <f t="shared" ref="B42:K42" si="31">ROUND(B12/B40,0)</f>
        <v>113</v>
      </c>
      <c r="C42" s="116">
        <f t="shared" si="31"/>
        <v>124</v>
      </c>
      <c r="D42" s="116">
        <f t="shared" si="31"/>
        <v>135</v>
      </c>
      <c r="E42" s="116">
        <f t="shared" si="31"/>
        <v>146</v>
      </c>
      <c r="F42" s="116">
        <f t="shared" si="31"/>
        <v>158</v>
      </c>
      <c r="G42" s="116">
        <f t="shared" si="31"/>
        <v>169</v>
      </c>
      <c r="H42" s="116">
        <f t="shared" si="31"/>
        <v>180</v>
      </c>
      <c r="I42" s="116">
        <f t="shared" si="31"/>
        <v>191</v>
      </c>
      <c r="J42" s="116">
        <f t="shared" si="31"/>
        <v>203</v>
      </c>
      <c r="K42" s="116">
        <f t="shared" si="31"/>
        <v>214</v>
      </c>
    </row>
    <row r="43" spans="1:14" x14ac:dyDescent="0.2">
      <c r="A43" s="115" t="s">
        <v>162</v>
      </c>
      <c r="B43" s="116">
        <f>ROUND((B17+B18)/B40,0)</f>
        <v>13</v>
      </c>
      <c r="C43" s="116">
        <f t="shared" ref="C43:K43" si="32">ROUND((C17+C18)/C40,0)</f>
        <v>14</v>
      </c>
      <c r="D43" s="116">
        <f t="shared" si="32"/>
        <v>15</v>
      </c>
      <c r="E43" s="116">
        <f t="shared" si="32"/>
        <v>16</v>
      </c>
      <c r="F43" s="116">
        <f t="shared" si="32"/>
        <v>18</v>
      </c>
      <c r="G43" s="116">
        <f t="shared" si="32"/>
        <v>19</v>
      </c>
      <c r="H43" s="116">
        <f t="shared" si="32"/>
        <v>20</v>
      </c>
      <c r="I43" s="116">
        <f t="shared" si="32"/>
        <v>21</v>
      </c>
      <c r="J43" s="116">
        <f t="shared" si="32"/>
        <v>23</v>
      </c>
      <c r="K43" s="116">
        <f t="shared" si="32"/>
        <v>24</v>
      </c>
    </row>
    <row r="44" spans="1:14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4" s="139" customFormat="1" ht="15" x14ac:dyDescent="0.25">
      <c r="A45" s="141" t="s">
        <v>163</v>
      </c>
      <c r="B45" s="141">
        <f>B42+B43</f>
        <v>126</v>
      </c>
      <c r="C45" s="141">
        <f t="shared" ref="C45:K45" si="33">C42+C43</f>
        <v>138</v>
      </c>
      <c r="D45" s="141">
        <f t="shared" si="33"/>
        <v>150</v>
      </c>
      <c r="E45" s="141">
        <f t="shared" si="33"/>
        <v>162</v>
      </c>
      <c r="F45" s="141">
        <f t="shared" si="33"/>
        <v>176</v>
      </c>
      <c r="G45" s="141">
        <f t="shared" si="33"/>
        <v>188</v>
      </c>
      <c r="H45" s="141">
        <f t="shared" si="33"/>
        <v>200</v>
      </c>
      <c r="I45" s="141">
        <f t="shared" si="33"/>
        <v>212</v>
      </c>
      <c r="J45" s="141">
        <f t="shared" si="33"/>
        <v>226</v>
      </c>
      <c r="K45" s="141">
        <f t="shared" si="33"/>
        <v>238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view="pageBreakPreview" topLeftCell="A31" zoomScale="85" zoomScaleNormal="100" zoomScaleSheetLayoutView="85" workbookViewId="0">
      <selection activeCell="C5" sqref="A1:XFD1048576"/>
    </sheetView>
  </sheetViews>
  <sheetFormatPr defaultRowHeight="14.25" x14ac:dyDescent="0.2"/>
  <cols>
    <col min="1" max="1" width="27.42578125" style="133" customWidth="1"/>
    <col min="2" max="11" width="9.140625" style="133" customWidth="1"/>
    <col min="12" max="16384" width="9.140625" style="133"/>
  </cols>
  <sheetData>
    <row r="2" spans="1:11" ht="15" x14ac:dyDescent="0.25">
      <c r="A2" s="114" t="s">
        <v>1</v>
      </c>
      <c r="B2" s="185" t="s">
        <v>36</v>
      </c>
      <c r="C2" s="185" t="s">
        <v>37</v>
      </c>
      <c r="D2" s="185" t="s">
        <v>38</v>
      </c>
      <c r="E2" s="185" t="s">
        <v>39</v>
      </c>
      <c r="F2" s="185" t="s">
        <v>40</v>
      </c>
      <c r="G2" s="185" t="s">
        <v>41</v>
      </c>
      <c r="H2" s="185" t="s">
        <v>42</v>
      </c>
      <c r="I2" s="185" t="s">
        <v>494</v>
      </c>
      <c r="J2" s="185" t="s">
        <v>495</v>
      </c>
      <c r="K2" s="185" t="s">
        <v>496</v>
      </c>
    </row>
    <row r="3" spans="1:11" ht="15" x14ac:dyDescent="0.25">
      <c r="A3" s="206" t="s">
        <v>64</v>
      </c>
      <c r="B3" s="115"/>
      <c r="C3" s="115"/>
      <c r="D3" s="115"/>
      <c r="E3" s="115"/>
      <c r="F3" s="115"/>
      <c r="G3" s="116"/>
      <c r="H3" s="116"/>
      <c r="I3" s="116"/>
      <c r="J3" s="116"/>
      <c r="K3" s="116"/>
    </row>
    <row r="4" spans="1:11" ht="15" x14ac:dyDescent="0.25">
      <c r="A4" s="206" t="s">
        <v>716</v>
      </c>
      <c r="B4" s="115"/>
      <c r="C4" s="115"/>
      <c r="D4" s="115"/>
      <c r="E4" s="115"/>
      <c r="F4" s="115"/>
      <c r="G4" s="116"/>
      <c r="H4" s="116"/>
      <c r="I4" s="116"/>
      <c r="J4" s="116"/>
      <c r="K4" s="116"/>
    </row>
    <row r="5" spans="1:11" x14ac:dyDescent="0.2">
      <c r="A5" s="115" t="s">
        <v>65</v>
      </c>
      <c r="B5" s="115">
        <v>0</v>
      </c>
      <c r="C5" s="115">
        <f>B8</f>
        <v>15</v>
      </c>
      <c r="D5" s="115">
        <f>C8</f>
        <v>16</v>
      </c>
      <c r="E5" s="115">
        <f>D8</f>
        <v>18</v>
      </c>
      <c r="F5" s="115">
        <f>E8</f>
        <v>19</v>
      </c>
      <c r="G5" s="115">
        <f t="shared" ref="G5:H5" si="0">F8</f>
        <v>20</v>
      </c>
      <c r="H5" s="115">
        <f t="shared" si="0"/>
        <v>22</v>
      </c>
      <c r="I5" s="115">
        <f t="shared" ref="I5" si="1">H8</f>
        <v>23</v>
      </c>
      <c r="J5" s="115">
        <f t="shared" ref="J5" si="2">I8</f>
        <v>25</v>
      </c>
      <c r="K5" s="115">
        <f t="shared" ref="K5" si="3">J8</f>
        <v>26</v>
      </c>
    </row>
    <row r="6" spans="1:11" x14ac:dyDescent="0.2">
      <c r="A6" s="115" t="s">
        <v>66</v>
      </c>
      <c r="B6" s="214">
        <f>SUM(B7:B8)-B5</f>
        <v>365</v>
      </c>
      <c r="C6" s="214">
        <f>SUM(C7:C8)-C5</f>
        <v>386</v>
      </c>
      <c r="D6" s="214">
        <f t="shared" ref="D6:K6" si="4">SUM(D7:D8)-D5</f>
        <v>422</v>
      </c>
      <c r="E6" s="214">
        <f t="shared" si="4"/>
        <v>456</v>
      </c>
      <c r="F6" s="214">
        <f t="shared" si="4"/>
        <v>491</v>
      </c>
      <c r="G6" s="214">
        <f t="shared" si="4"/>
        <v>527</v>
      </c>
      <c r="H6" s="214">
        <f t="shared" si="4"/>
        <v>561</v>
      </c>
      <c r="I6" s="214">
        <f t="shared" si="4"/>
        <v>597</v>
      </c>
      <c r="J6" s="214">
        <f t="shared" si="4"/>
        <v>631</v>
      </c>
      <c r="K6" s="214">
        <f t="shared" si="4"/>
        <v>667</v>
      </c>
    </row>
    <row r="7" spans="1:11" x14ac:dyDescent="0.2">
      <c r="A7" s="115" t="s">
        <v>67</v>
      </c>
      <c r="B7" s="214">
        <f>'Output Schedule'!B17</f>
        <v>350</v>
      </c>
      <c r="C7" s="214">
        <f>'Output Schedule'!C17</f>
        <v>385</v>
      </c>
      <c r="D7" s="214">
        <f>'Output Schedule'!D17</f>
        <v>420</v>
      </c>
      <c r="E7" s="214">
        <f>'Output Schedule'!E17</f>
        <v>455</v>
      </c>
      <c r="F7" s="214">
        <f>'Output Schedule'!F17</f>
        <v>490</v>
      </c>
      <c r="G7" s="214">
        <f>'Output Schedule'!G17</f>
        <v>525</v>
      </c>
      <c r="H7" s="214">
        <f>'Output Schedule'!H17</f>
        <v>560</v>
      </c>
      <c r="I7" s="214">
        <f>'Output Schedule'!I17</f>
        <v>595</v>
      </c>
      <c r="J7" s="214">
        <f>'Output Schedule'!J17</f>
        <v>630</v>
      </c>
      <c r="K7" s="214">
        <f>'Output Schedule'!K17</f>
        <v>665</v>
      </c>
    </row>
    <row r="8" spans="1:11" x14ac:dyDescent="0.2">
      <c r="A8" s="115" t="s">
        <v>68</v>
      </c>
      <c r="B8" s="115">
        <f>ROUND(B7/24,0)</f>
        <v>15</v>
      </c>
      <c r="C8" s="115">
        <f t="shared" ref="C8:K8" si="5">ROUND(C7/24,0)</f>
        <v>16</v>
      </c>
      <c r="D8" s="115">
        <f t="shared" si="5"/>
        <v>18</v>
      </c>
      <c r="E8" s="115">
        <f t="shared" si="5"/>
        <v>19</v>
      </c>
      <c r="F8" s="115">
        <f t="shared" si="5"/>
        <v>20</v>
      </c>
      <c r="G8" s="115">
        <f t="shared" si="5"/>
        <v>22</v>
      </c>
      <c r="H8" s="115">
        <f t="shared" si="5"/>
        <v>23</v>
      </c>
      <c r="I8" s="115">
        <f t="shared" si="5"/>
        <v>25</v>
      </c>
      <c r="J8" s="115">
        <f t="shared" si="5"/>
        <v>26</v>
      </c>
      <c r="K8" s="115">
        <f t="shared" si="5"/>
        <v>28</v>
      </c>
    </row>
    <row r="9" spans="1:11" x14ac:dyDescent="0.2">
      <c r="A9" s="116"/>
      <c r="B9" s="126"/>
      <c r="C9" s="116"/>
      <c r="D9" s="116"/>
      <c r="E9" s="116"/>
      <c r="F9" s="116"/>
      <c r="G9" s="116"/>
      <c r="H9" s="116"/>
      <c r="I9" s="116"/>
      <c r="J9" s="116"/>
      <c r="K9" s="116"/>
    </row>
    <row r="10" spans="1:11" ht="15" x14ac:dyDescent="0.25">
      <c r="A10" s="206" t="s">
        <v>69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15" x14ac:dyDescent="0.25">
      <c r="A11" s="206" t="s">
        <v>453</v>
      </c>
      <c r="B11" s="216">
        <v>19000</v>
      </c>
      <c r="C11" s="217">
        <f>ROUND(B11*1.05,-1)</f>
        <v>19950</v>
      </c>
      <c r="D11" s="217">
        <f t="shared" ref="D11:K11" si="6">ROUND(C11*1.05,-1)</f>
        <v>20950</v>
      </c>
      <c r="E11" s="217">
        <f t="shared" si="6"/>
        <v>22000</v>
      </c>
      <c r="F11" s="217">
        <f t="shared" si="6"/>
        <v>23100</v>
      </c>
      <c r="G11" s="217">
        <f t="shared" si="6"/>
        <v>24260</v>
      </c>
      <c r="H11" s="217">
        <f t="shared" si="6"/>
        <v>25470</v>
      </c>
      <c r="I11" s="217">
        <f t="shared" si="6"/>
        <v>26740</v>
      </c>
      <c r="J11" s="217">
        <f t="shared" si="6"/>
        <v>28080</v>
      </c>
      <c r="K11" s="217">
        <f t="shared" si="6"/>
        <v>29480</v>
      </c>
    </row>
    <row r="12" spans="1:11" s="220" customFormat="1" ht="57.75" hidden="1" x14ac:dyDescent="0.25">
      <c r="A12" s="218" t="s">
        <v>452</v>
      </c>
      <c r="B12" s="219">
        <f>B11</f>
        <v>19000</v>
      </c>
      <c r="C12" s="219">
        <f t="shared" ref="C12:H12" si="7">C11</f>
        <v>19950</v>
      </c>
      <c r="D12" s="219">
        <f t="shared" si="7"/>
        <v>20950</v>
      </c>
      <c r="E12" s="219">
        <f t="shared" si="7"/>
        <v>22000</v>
      </c>
      <c r="F12" s="219">
        <f t="shared" si="7"/>
        <v>23100</v>
      </c>
      <c r="G12" s="219">
        <f t="shared" si="7"/>
        <v>24260</v>
      </c>
      <c r="H12" s="219">
        <f t="shared" si="7"/>
        <v>25470</v>
      </c>
      <c r="I12" s="219">
        <f t="shared" ref="I12" si="8">I11</f>
        <v>26740</v>
      </c>
      <c r="J12" s="219">
        <f t="shared" ref="J12" si="9">J11</f>
        <v>28080</v>
      </c>
      <c r="K12" s="219">
        <f t="shared" ref="K12" si="10">K11</f>
        <v>29480</v>
      </c>
    </row>
    <row r="13" spans="1:11" hidden="1" x14ac:dyDescent="0.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15" x14ac:dyDescent="0.25">
      <c r="A15" s="141" t="s">
        <v>719</v>
      </c>
      <c r="B15" s="221">
        <f>+B5*B11/100000</f>
        <v>0</v>
      </c>
      <c r="C15" s="208">
        <f>+B16</f>
        <v>2.85</v>
      </c>
      <c r="D15" s="208">
        <f t="shared" ref="D15:K15" si="11">+C16</f>
        <v>3.1920000000000002</v>
      </c>
      <c r="E15" s="208">
        <f t="shared" si="11"/>
        <v>3.7709999999999999</v>
      </c>
      <c r="F15" s="208">
        <f t="shared" si="11"/>
        <v>4.18</v>
      </c>
      <c r="G15" s="208">
        <f t="shared" si="11"/>
        <v>4.62</v>
      </c>
      <c r="H15" s="208">
        <f t="shared" si="11"/>
        <v>5.3372000000000002</v>
      </c>
      <c r="I15" s="208">
        <f t="shared" si="11"/>
        <v>5.8581000000000003</v>
      </c>
      <c r="J15" s="208">
        <f t="shared" si="11"/>
        <v>6.6849999999999996</v>
      </c>
      <c r="K15" s="208">
        <f t="shared" si="11"/>
        <v>7.3007999999999997</v>
      </c>
    </row>
    <row r="16" spans="1:11" ht="15" x14ac:dyDescent="0.25">
      <c r="A16" s="141" t="s">
        <v>720</v>
      </c>
      <c r="B16" s="208">
        <f>+B8*B11/100000</f>
        <v>2.85</v>
      </c>
      <c r="C16" s="208">
        <f>+C8*C11/100000</f>
        <v>3.1920000000000002</v>
      </c>
      <c r="D16" s="208">
        <f t="shared" ref="D16:K16" si="12">+D8*D11/100000</f>
        <v>3.7709999999999999</v>
      </c>
      <c r="E16" s="208">
        <f t="shared" si="12"/>
        <v>4.18</v>
      </c>
      <c r="F16" s="208">
        <f t="shared" si="12"/>
        <v>4.62</v>
      </c>
      <c r="G16" s="208">
        <f t="shared" si="12"/>
        <v>5.3372000000000002</v>
      </c>
      <c r="H16" s="208">
        <f t="shared" si="12"/>
        <v>5.8581000000000003</v>
      </c>
      <c r="I16" s="208">
        <f t="shared" si="12"/>
        <v>6.6849999999999996</v>
      </c>
      <c r="J16" s="208">
        <f t="shared" si="12"/>
        <v>7.3007999999999997</v>
      </c>
      <c r="K16" s="208">
        <f t="shared" si="12"/>
        <v>8.2544000000000004</v>
      </c>
    </row>
    <row r="17" spans="1:11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ht="15" x14ac:dyDescent="0.25">
      <c r="A18" s="206" t="s">
        <v>721</v>
      </c>
      <c r="B18" s="115"/>
      <c r="C18" s="115"/>
      <c r="D18" s="115"/>
      <c r="E18" s="115"/>
      <c r="F18" s="115"/>
      <c r="G18" s="116"/>
      <c r="H18" s="116"/>
      <c r="I18" s="116"/>
      <c r="J18" s="116"/>
      <c r="K18" s="116"/>
    </row>
    <row r="19" spans="1:11" x14ac:dyDescent="0.2">
      <c r="A19" s="115" t="s">
        <v>65</v>
      </c>
      <c r="B19" s="115">
        <v>0</v>
      </c>
      <c r="C19" s="115">
        <f>B22</f>
        <v>6</v>
      </c>
      <c r="D19" s="115">
        <f>C22</f>
        <v>7</v>
      </c>
      <c r="E19" s="115">
        <f>D22</f>
        <v>8</v>
      </c>
      <c r="F19" s="115">
        <f>E22</f>
        <v>8</v>
      </c>
      <c r="G19" s="115">
        <f t="shared" ref="G19" si="13">F22</f>
        <v>9</v>
      </c>
      <c r="H19" s="115">
        <f t="shared" ref="H19" si="14">G22</f>
        <v>9</v>
      </c>
      <c r="I19" s="115">
        <f t="shared" ref="I19" si="15">H22</f>
        <v>10</v>
      </c>
      <c r="J19" s="115">
        <f t="shared" ref="J19" si="16">I22</f>
        <v>11</v>
      </c>
      <c r="K19" s="115">
        <f t="shared" ref="K19" si="17">J22</f>
        <v>11</v>
      </c>
    </row>
    <row r="20" spans="1:11" x14ac:dyDescent="0.2">
      <c r="A20" s="115" t="s">
        <v>66</v>
      </c>
      <c r="B20" s="214">
        <f>SUM(B21:B22)-B19</f>
        <v>156</v>
      </c>
      <c r="C20" s="214">
        <f>SUM(C21:C22)-C19</f>
        <v>166</v>
      </c>
      <c r="D20" s="214">
        <f t="shared" ref="D20:K20" si="18">SUM(D21:D22)-D19</f>
        <v>181</v>
      </c>
      <c r="E20" s="214">
        <f t="shared" si="18"/>
        <v>195</v>
      </c>
      <c r="F20" s="214">
        <f t="shared" si="18"/>
        <v>211</v>
      </c>
      <c r="G20" s="214">
        <f t="shared" si="18"/>
        <v>225</v>
      </c>
      <c r="H20" s="214">
        <f t="shared" si="18"/>
        <v>241</v>
      </c>
      <c r="I20" s="214">
        <f t="shared" si="18"/>
        <v>256</v>
      </c>
      <c r="J20" s="214">
        <f t="shared" si="18"/>
        <v>270</v>
      </c>
      <c r="K20" s="214">
        <f t="shared" si="18"/>
        <v>286</v>
      </c>
    </row>
    <row r="21" spans="1:11" x14ac:dyDescent="0.2">
      <c r="A21" s="115" t="s">
        <v>67</v>
      </c>
      <c r="B21" s="214">
        <f>+'Output Schedule'!B18</f>
        <v>150</v>
      </c>
      <c r="C21" s="214">
        <f>+'Output Schedule'!C18</f>
        <v>165</v>
      </c>
      <c r="D21" s="214">
        <f>+'Output Schedule'!D18</f>
        <v>180</v>
      </c>
      <c r="E21" s="214">
        <f>+'Output Schedule'!E18</f>
        <v>195</v>
      </c>
      <c r="F21" s="214">
        <f>+'Output Schedule'!F18</f>
        <v>210</v>
      </c>
      <c r="G21" s="214">
        <f>+'Output Schedule'!G18</f>
        <v>225</v>
      </c>
      <c r="H21" s="214">
        <f>+'Output Schedule'!H18</f>
        <v>240</v>
      </c>
      <c r="I21" s="214">
        <f>+'Output Schedule'!I18</f>
        <v>255</v>
      </c>
      <c r="J21" s="214">
        <f>+'Output Schedule'!J18</f>
        <v>270</v>
      </c>
      <c r="K21" s="214">
        <f>+'Output Schedule'!K18</f>
        <v>285</v>
      </c>
    </row>
    <row r="22" spans="1:11" x14ac:dyDescent="0.2">
      <c r="A22" s="115" t="s">
        <v>68</v>
      </c>
      <c r="B22" s="115">
        <f>ROUND(B21/24,0)</f>
        <v>6</v>
      </c>
      <c r="C22" s="115">
        <f t="shared" ref="C22:K22" si="19">ROUND(C21/24,0)</f>
        <v>7</v>
      </c>
      <c r="D22" s="115">
        <f t="shared" si="19"/>
        <v>8</v>
      </c>
      <c r="E22" s="115">
        <f t="shared" si="19"/>
        <v>8</v>
      </c>
      <c r="F22" s="115">
        <f t="shared" si="19"/>
        <v>9</v>
      </c>
      <c r="G22" s="115">
        <f t="shared" si="19"/>
        <v>9</v>
      </c>
      <c r="H22" s="115">
        <f t="shared" si="19"/>
        <v>10</v>
      </c>
      <c r="I22" s="115">
        <f t="shared" si="19"/>
        <v>11</v>
      </c>
      <c r="J22" s="115">
        <f t="shared" si="19"/>
        <v>11</v>
      </c>
      <c r="K22" s="115">
        <f t="shared" si="19"/>
        <v>12</v>
      </c>
    </row>
    <row r="23" spans="1:11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ht="15" x14ac:dyDescent="0.25">
      <c r="A24" s="206" t="s">
        <v>69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ht="15" x14ac:dyDescent="0.25">
      <c r="A25" s="206" t="s">
        <v>453</v>
      </c>
      <c r="B25" s="216">
        <v>23000</v>
      </c>
      <c r="C25" s="217">
        <f>ROUND(B25*1.05,-1)</f>
        <v>24150</v>
      </c>
      <c r="D25" s="217">
        <f t="shared" ref="D25" si="20">ROUND(C25*1.05,-1)</f>
        <v>25360</v>
      </c>
      <c r="E25" s="217">
        <f t="shared" ref="E25" si="21">ROUND(D25*1.05,-1)</f>
        <v>26630</v>
      </c>
      <c r="F25" s="217">
        <f t="shared" ref="F25" si="22">ROUND(E25*1.05,-1)</f>
        <v>27960</v>
      </c>
      <c r="G25" s="217">
        <f t="shared" ref="G25" si="23">ROUND(F25*1.05,-1)</f>
        <v>29360</v>
      </c>
      <c r="H25" s="217">
        <f t="shared" ref="H25" si="24">ROUND(G25*1.05,-1)</f>
        <v>30830</v>
      </c>
      <c r="I25" s="217">
        <f t="shared" ref="I25" si="25">ROUND(H25*1.05,-1)</f>
        <v>32370</v>
      </c>
      <c r="J25" s="217">
        <f t="shared" ref="J25" si="26">ROUND(I25*1.05,-1)</f>
        <v>33990</v>
      </c>
      <c r="K25" s="217">
        <f t="shared" ref="K25" si="27">ROUND(J25*1.05,-1)</f>
        <v>35690</v>
      </c>
    </row>
    <row r="26" spans="1:11" ht="15" x14ac:dyDescent="0.25">
      <c r="A26" s="206"/>
      <c r="B26" s="216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5" x14ac:dyDescent="0.25">
      <c r="A27" s="141" t="s">
        <v>719</v>
      </c>
      <c r="B27" s="221">
        <f>+B19*B25/100000</f>
        <v>0</v>
      </c>
      <c r="C27" s="208">
        <f>+B28</f>
        <v>1.38</v>
      </c>
      <c r="D27" s="208">
        <f t="shared" ref="D27:K27" si="28">+C28</f>
        <v>1.6904999999999999</v>
      </c>
      <c r="E27" s="208">
        <f t="shared" si="28"/>
        <v>2.0287999999999999</v>
      </c>
      <c r="F27" s="208">
        <f t="shared" si="28"/>
        <v>2.1303999999999998</v>
      </c>
      <c r="G27" s="208">
        <f t="shared" si="28"/>
        <v>2.5164</v>
      </c>
      <c r="H27" s="208">
        <f t="shared" si="28"/>
        <v>2.6423999999999999</v>
      </c>
      <c r="I27" s="208">
        <f t="shared" si="28"/>
        <v>3.0830000000000002</v>
      </c>
      <c r="J27" s="208">
        <f t="shared" si="28"/>
        <v>3.5607000000000002</v>
      </c>
      <c r="K27" s="208">
        <f t="shared" si="28"/>
        <v>3.7389000000000001</v>
      </c>
    </row>
    <row r="28" spans="1:11" ht="15" x14ac:dyDescent="0.25">
      <c r="A28" s="141" t="s">
        <v>720</v>
      </c>
      <c r="B28" s="208">
        <f>+B22*B25/100000</f>
        <v>1.38</v>
      </c>
      <c r="C28" s="208">
        <f>+C22*C25/100000</f>
        <v>1.6904999999999999</v>
      </c>
      <c r="D28" s="208">
        <f t="shared" ref="D28:K28" si="29">+D22*D25/100000</f>
        <v>2.0287999999999999</v>
      </c>
      <c r="E28" s="208">
        <f t="shared" si="29"/>
        <v>2.1303999999999998</v>
      </c>
      <c r="F28" s="208">
        <f t="shared" si="29"/>
        <v>2.5164</v>
      </c>
      <c r="G28" s="208">
        <f t="shared" si="29"/>
        <v>2.6423999999999999</v>
      </c>
      <c r="H28" s="208">
        <f t="shared" si="29"/>
        <v>3.0830000000000002</v>
      </c>
      <c r="I28" s="208">
        <f t="shared" si="29"/>
        <v>3.5607000000000002</v>
      </c>
      <c r="J28" s="208">
        <f t="shared" si="29"/>
        <v>3.7389000000000001</v>
      </c>
      <c r="K28" s="208">
        <f t="shared" si="29"/>
        <v>4.2827999999999999</v>
      </c>
    </row>
    <row r="29" spans="1:11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11" ht="15" x14ac:dyDescent="0.25">
      <c r="A30" s="206" t="s">
        <v>70</v>
      </c>
      <c r="B30" s="207">
        <f>+B15+B27</f>
        <v>0</v>
      </c>
      <c r="C30" s="207">
        <f>B31</f>
        <v>4.2300000000000004</v>
      </c>
      <c r="D30" s="207">
        <f>C31</f>
        <v>4.8825000000000003</v>
      </c>
      <c r="E30" s="207">
        <f t="shared" ref="E30:H30" si="30">D31</f>
        <v>5.7997999999999994</v>
      </c>
      <c r="F30" s="207">
        <f t="shared" si="30"/>
        <v>6.3103999999999996</v>
      </c>
      <c r="G30" s="207">
        <f t="shared" si="30"/>
        <v>7.1364000000000001</v>
      </c>
      <c r="H30" s="207">
        <f t="shared" si="30"/>
        <v>7.9795999999999996</v>
      </c>
      <c r="I30" s="207">
        <f t="shared" ref="I30" si="31">H31</f>
        <v>8.9411000000000005</v>
      </c>
      <c r="J30" s="207">
        <f t="shared" ref="J30" si="32">I31</f>
        <v>10.245699999999999</v>
      </c>
      <c r="K30" s="207">
        <f t="shared" ref="K30" si="33">J31</f>
        <v>11.0397</v>
      </c>
    </row>
    <row r="31" spans="1:11" ht="15" x14ac:dyDescent="0.25">
      <c r="A31" s="206" t="s">
        <v>71</v>
      </c>
      <c r="B31" s="207">
        <f>+B16+B28</f>
        <v>4.2300000000000004</v>
      </c>
      <c r="C31" s="207">
        <f t="shared" ref="C31:K31" si="34">+C16+C28</f>
        <v>4.8825000000000003</v>
      </c>
      <c r="D31" s="207">
        <f t="shared" si="34"/>
        <v>5.7997999999999994</v>
      </c>
      <c r="E31" s="207">
        <f t="shared" si="34"/>
        <v>6.3103999999999996</v>
      </c>
      <c r="F31" s="207">
        <f t="shared" si="34"/>
        <v>7.1364000000000001</v>
      </c>
      <c r="G31" s="207">
        <f t="shared" si="34"/>
        <v>7.9795999999999996</v>
      </c>
      <c r="H31" s="207">
        <f t="shared" si="34"/>
        <v>8.9411000000000005</v>
      </c>
      <c r="I31" s="207">
        <f t="shared" si="34"/>
        <v>10.245699999999999</v>
      </c>
      <c r="J31" s="207">
        <f t="shared" si="34"/>
        <v>11.0397</v>
      </c>
      <c r="K31" s="207">
        <f t="shared" si="34"/>
        <v>12.5372</v>
      </c>
    </row>
    <row r="33" spans="3:8" x14ac:dyDescent="0.2">
      <c r="C33" s="215"/>
      <c r="D33" s="215"/>
      <c r="E33" s="215"/>
      <c r="F33" s="215"/>
      <c r="G33" s="215"/>
      <c r="H33" s="21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60" zoomScaleNormal="100" workbookViewId="0">
      <selection activeCell="C5" sqref="A1:XFD1048576"/>
    </sheetView>
  </sheetViews>
  <sheetFormatPr defaultRowHeight="14.25" x14ac:dyDescent="0.2"/>
  <cols>
    <col min="1" max="1" width="31.85546875" style="133" bestFit="1" customWidth="1"/>
    <col min="2" max="3" width="12.28515625" style="133" bestFit="1" customWidth="1"/>
    <col min="4" max="4" width="11.85546875" style="133" bestFit="1" customWidth="1"/>
    <col min="5" max="6" width="12.28515625" style="133" bestFit="1" customWidth="1"/>
    <col min="7" max="7" width="12.5703125" style="133" bestFit="1" customWidth="1"/>
    <col min="8" max="8" width="13" style="133" bestFit="1" customWidth="1"/>
    <col min="9" max="10" width="13.42578125" style="133" bestFit="1" customWidth="1"/>
    <col min="11" max="11" width="13" style="133" bestFit="1" customWidth="1"/>
    <col min="12" max="16384" width="9.140625" style="133"/>
  </cols>
  <sheetData>
    <row r="1" spans="1:11" ht="15" x14ac:dyDescent="0.25">
      <c r="A1" s="114" t="s">
        <v>1</v>
      </c>
      <c r="B1" s="185" t="s">
        <v>36</v>
      </c>
      <c r="C1" s="185" t="s">
        <v>37</v>
      </c>
      <c r="D1" s="185" t="s">
        <v>38</v>
      </c>
      <c r="E1" s="185" t="s">
        <v>39</v>
      </c>
      <c r="F1" s="185" t="s">
        <v>40</v>
      </c>
      <c r="G1" s="185" t="s">
        <v>41</v>
      </c>
      <c r="H1" s="185" t="s">
        <v>42</v>
      </c>
      <c r="I1" s="185" t="s">
        <v>494</v>
      </c>
      <c r="J1" s="185" t="s">
        <v>495</v>
      </c>
      <c r="K1" s="185" t="s">
        <v>496</v>
      </c>
    </row>
    <row r="2" spans="1:11" ht="15" x14ac:dyDescent="0.25">
      <c r="A2" s="206"/>
      <c r="B2" s="213"/>
      <c r="C2" s="213"/>
      <c r="D2" s="213"/>
      <c r="E2" s="213"/>
      <c r="F2" s="213"/>
      <c r="G2" s="213"/>
      <c r="H2" s="213"/>
      <c r="I2" s="116"/>
      <c r="J2" s="116"/>
      <c r="K2" s="116"/>
    </row>
    <row r="3" spans="1:11" x14ac:dyDescent="0.2">
      <c r="A3" s="115" t="s">
        <v>716</v>
      </c>
      <c r="B3" s="115">
        <f>ROUND('CS-RM'!B6,0)</f>
        <v>365</v>
      </c>
      <c r="C3" s="115">
        <f>ROUND('CS-RM'!C6,0)</f>
        <v>386</v>
      </c>
      <c r="D3" s="115">
        <f>ROUND('CS-RM'!D6,0)</f>
        <v>422</v>
      </c>
      <c r="E3" s="115">
        <f>ROUND('CS-RM'!E6,0)</f>
        <v>456</v>
      </c>
      <c r="F3" s="115">
        <f>ROUND('CS-RM'!F6,0)</f>
        <v>491</v>
      </c>
      <c r="G3" s="115">
        <f>ROUND('CS-RM'!G6,0)</f>
        <v>527</v>
      </c>
      <c r="H3" s="115">
        <f>ROUND('CS-RM'!H6,0)</f>
        <v>561</v>
      </c>
      <c r="I3" s="115">
        <f>ROUND('CS-RM'!I6,0)</f>
        <v>597</v>
      </c>
      <c r="J3" s="115">
        <f>ROUND('CS-RM'!J6,0)</f>
        <v>631</v>
      </c>
      <c r="K3" s="115">
        <f>ROUND('CS-RM'!K6,0)</f>
        <v>667</v>
      </c>
    </row>
    <row r="4" spans="1:11" x14ac:dyDescent="0.2">
      <c r="A4" s="115" t="s">
        <v>591</v>
      </c>
      <c r="B4" s="202">
        <f>'CS-RM'!B12</f>
        <v>19000</v>
      </c>
      <c r="C4" s="202">
        <f>'CS-RM'!C12</f>
        <v>19950</v>
      </c>
      <c r="D4" s="202">
        <f>'CS-RM'!D12</f>
        <v>20950</v>
      </c>
      <c r="E4" s="202">
        <f>'CS-RM'!E12</f>
        <v>22000</v>
      </c>
      <c r="F4" s="202">
        <f>'CS-RM'!F12</f>
        <v>23100</v>
      </c>
      <c r="G4" s="202">
        <f>'CS-RM'!G12</f>
        <v>24260</v>
      </c>
      <c r="H4" s="202">
        <f>'CS-RM'!H12</f>
        <v>25470</v>
      </c>
      <c r="I4" s="202">
        <f>'CS-RM'!I12</f>
        <v>26740</v>
      </c>
      <c r="J4" s="202">
        <f>'CS-RM'!J12</f>
        <v>28080</v>
      </c>
      <c r="K4" s="202">
        <f>'CS-RM'!K12</f>
        <v>29480</v>
      </c>
    </row>
    <row r="5" spans="1:11" x14ac:dyDescent="0.2">
      <c r="A5" s="115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x14ac:dyDescent="0.2">
      <c r="A6" s="115" t="s">
        <v>721</v>
      </c>
      <c r="B6" s="214">
        <f>+'CS-RM'!B20</f>
        <v>156</v>
      </c>
      <c r="C6" s="214">
        <f>+'CS-RM'!C20</f>
        <v>166</v>
      </c>
      <c r="D6" s="214">
        <f>+'CS-RM'!D20</f>
        <v>181</v>
      </c>
      <c r="E6" s="214">
        <f>+'CS-RM'!E20</f>
        <v>195</v>
      </c>
      <c r="F6" s="214">
        <f>+'CS-RM'!F20</f>
        <v>211</v>
      </c>
      <c r="G6" s="214">
        <f>+'CS-RM'!G20</f>
        <v>225</v>
      </c>
      <c r="H6" s="214">
        <f>+'CS-RM'!H20</f>
        <v>241</v>
      </c>
      <c r="I6" s="214">
        <f>+'CS-RM'!I20</f>
        <v>256</v>
      </c>
      <c r="J6" s="214">
        <f>+'CS-RM'!J20</f>
        <v>270</v>
      </c>
      <c r="K6" s="214">
        <f>+'CS-RM'!K20</f>
        <v>286</v>
      </c>
    </row>
    <row r="7" spans="1:11" x14ac:dyDescent="0.2">
      <c r="A7" s="115" t="s">
        <v>591</v>
      </c>
      <c r="B7" s="202">
        <f>+'CS-RM'!B25</f>
        <v>23000</v>
      </c>
      <c r="C7" s="202">
        <f>+'CS-RM'!C25</f>
        <v>24150</v>
      </c>
      <c r="D7" s="202">
        <f>+'CS-RM'!D25</f>
        <v>25360</v>
      </c>
      <c r="E7" s="202">
        <f>+'CS-RM'!E25</f>
        <v>26630</v>
      </c>
      <c r="F7" s="202">
        <f>+'CS-RM'!F25</f>
        <v>27960</v>
      </c>
      <c r="G7" s="202">
        <f>+'CS-RM'!G25</f>
        <v>29360</v>
      </c>
      <c r="H7" s="202">
        <f>+'CS-RM'!H25</f>
        <v>30830</v>
      </c>
      <c r="I7" s="202">
        <f>+'CS-RM'!I25</f>
        <v>32370</v>
      </c>
      <c r="J7" s="202">
        <f>+'CS-RM'!J25</f>
        <v>33990</v>
      </c>
      <c r="K7" s="202">
        <f>+'CS-RM'!K25</f>
        <v>35690</v>
      </c>
    </row>
    <row r="8" spans="1:11" x14ac:dyDescent="0.2">
      <c r="A8" s="115"/>
      <c r="B8" s="202"/>
      <c r="C8" s="202"/>
      <c r="D8" s="202"/>
      <c r="E8" s="202"/>
      <c r="F8" s="202"/>
      <c r="G8" s="116"/>
      <c r="H8" s="116"/>
      <c r="I8" s="116"/>
      <c r="J8" s="116"/>
      <c r="K8" s="116"/>
    </row>
    <row r="9" spans="1:11" ht="15" x14ac:dyDescent="0.25">
      <c r="A9" s="206" t="s">
        <v>75</v>
      </c>
      <c r="B9" s="258">
        <f>((B3*B4)+(B6*B7))/100000</f>
        <v>105.23</v>
      </c>
      <c r="C9" s="207">
        <f t="shared" ref="C9:K9" si="0">((C3*C4)+(C6*C7))/100000</f>
        <v>117.096</v>
      </c>
      <c r="D9" s="207">
        <f t="shared" si="0"/>
        <v>134.31059999999999</v>
      </c>
      <c r="E9" s="207">
        <f t="shared" si="0"/>
        <v>152.24850000000001</v>
      </c>
      <c r="F9" s="207">
        <f t="shared" si="0"/>
        <v>172.41659999999999</v>
      </c>
      <c r="G9" s="207">
        <f t="shared" si="0"/>
        <v>193.9102</v>
      </c>
      <c r="H9" s="207">
        <f t="shared" si="0"/>
        <v>217.18700000000001</v>
      </c>
      <c r="I9" s="207">
        <f t="shared" si="0"/>
        <v>242.505</v>
      </c>
      <c r="J9" s="207">
        <f t="shared" si="0"/>
        <v>268.95780000000002</v>
      </c>
      <c r="K9" s="207">
        <f t="shared" si="0"/>
        <v>298.70499999999998</v>
      </c>
    </row>
    <row r="11" spans="1:11" hidden="1" x14ac:dyDescent="0.2">
      <c r="B11" s="215">
        <f>B3*'CS-RM'!B11/100000</f>
        <v>69.349999999999994</v>
      </c>
      <c r="C11" s="215">
        <f>C3*'CS-RM'!C11/100000</f>
        <v>77.007000000000005</v>
      </c>
      <c r="D11" s="215">
        <f>D3*'CS-RM'!D11/100000</f>
        <v>88.409000000000006</v>
      </c>
      <c r="E11" s="215">
        <f>E3*'CS-RM'!E11/100000</f>
        <v>100.32</v>
      </c>
      <c r="F11" s="215">
        <f>F3*'CS-RM'!F11/100000</f>
        <v>113.42100000000001</v>
      </c>
      <c r="G11" s="215">
        <f>G3*'CS-RM'!G11/100000</f>
        <v>127.8502</v>
      </c>
      <c r="H11" s="215">
        <f>H3*'CS-RM'!H11/100000</f>
        <v>142.88669999999999</v>
      </c>
    </row>
    <row r="12" spans="1:11" hidden="1" x14ac:dyDescent="0.2"/>
    <row r="13" spans="1:11" hidden="1" x14ac:dyDescent="0.2">
      <c r="B13" s="215">
        <f>B11-B9</f>
        <v>-35.88000000000001</v>
      </c>
      <c r="C13" s="215">
        <f t="shared" ref="C13:H13" si="1">C11-C9</f>
        <v>-40.088999999999999</v>
      </c>
      <c r="D13" s="215">
        <f t="shared" si="1"/>
        <v>-45.901599999999988</v>
      </c>
      <c r="E13" s="215">
        <f t="shared" si="1"/>
        <v>-51.928500000000014</v>
      </c>
      <c r="F13" s="215">
        <f t="shared" si="1"/>
        <v>-58.995599999999982</v>
      </c>
      <c r="G13" s="215">
        <f t="shared" si="1"/>
        <v>-66.06</v>
      </c>
      <c r="H13" s="215">
        <f t="shared" si="1"/>
        <v>-74.300300000000021</v>
      </c>
    </row>
    <row r="14" spans="1:11" hidden="1" x14ac:dyDescent="0.2"/>
    <row r="15" spans="1:11" hidden="1" x14ac:dyDescent="0.2">
      <c r="B15" s="215">
        <f>'Production Level Support'!B3</f>
        <v>0</v>
      </c>
      <c r="C15" s="215">
        <f>'Production Level Support'!C3</f>
        <v>0</v>
      </c>
      <c r="D15" s="215">
        <f>'Production Level Support'!D3</f>
        <v>0</v>
      </c>
      <c r="E15" s="215">
        <f>'Production Level Support'!E3</f>
        <v>0</v>
      </c>
      <c r="F15" s="215">
        <f>'Production Level Support'!F3</f>
        <v>0</v>
      </c>
      <c r="G15" s="215">
        <f>'Production Level Support'!G3</f>
        <v>0</v>
      </c>
      <c r="H15" s="215">
        <f>'Production Level Support'!H3</f>
        <v>0</v>
      </c>
    </row>
    <row r="16" spans="1:11" hidden="1" x14ac:dyDescent="0.2"/>
    <row r="17" spans="2:8" hidden="1" x14ac:dyDescent="0.2">
      <c r="B17" s="215">
        <f>B13-B15</f>
        <v>-35.88000000000001</v>
      </c>
      <c r="C17" s="215">
        <f t="shared" ref="C17:H17" si="2">C13-C15</f>
        <v>-40.088999999999999</v>
      </c>
      <c r="D17" s="215">
        <f t="shared" si="2"/>
        <v>-45.901599999999988</v>
      </c>
      <c r="E17" s="215">
        <f t="shared" si="2"/>
        <v>-51.928500000000014</v>
      </c>
      <c r="F17" s="215">
        <f t="shared" si="2"/>
        <v>-58.995599999999982</v>
      </c>
      <c r="G17" s="215">
        <f t="shared" si="2"/>
        <v>-66.06</v>
      </c>
      <c r="H17" s="215">
        <f t="shared" si="2"/>
        <v>-74.300300000000021</v>
      </c>
    </row>
    <row r="18" spans="2:8" hidden="1" x14ac:dyDescent="0.2"/>
    <row r="20" spans="2:8" x14ac:dyDescent="0.2">
      <c r="B20" s="2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5"/>
  <sheetViews>
    <sheetView view="pageBreakPreview" topLeftCell="A109" zoomScale="60" zoomScaleNormal="100" workbookViewId="0">
      <selection activeCell="C5" sqref="A1:XFD1048576"/>
    </sheetView>
  </sheetViews>
  <sheetFormatPr defaultRowHeight="14.25" x14ac:dyDescent="0.2"/>
  <cols>
    <col min="1" max="1" width="4" style="133" bestFit="1" customWidth="1"/>
    <col min="2" max="2" width="44.85546875" style="133" bestFit="1" customWidth="1"/>
    <col min="3" max="8" width="12.28515625" style="133" bestFit="1" customWidth="1"/>
    <col min="9" max="9" width="11.85546875" style="133" bestFit="1" customWidth="1"/>
    <col min="10" max="12" width="12.28515625" style="133" bestFit="1" customWidth="1"/>
    <col min="13" max="16384" width="9.140625" style="133"/>
  </cols>
  <sheetData>
    <row r="2" spans="1:12" ht="15" x14ac:dyDescent="0.25">
      <c r="A2" s="160" t="s">
        <v>76</v>
      </c>
      <c r="B2" s="114" t="s">
        <v>1</v>
      </c>
      <c r="C2" s="185" t="s">
        <v>36</v>
      </c>
      <c r="D2" s="185" t="s">
        <v>37</v>
      </c>
      <c r="E2" s="185" t="s">
        <v>38</v>
      </c>
      <c r="F2" s="185" t="s">
        <v>39</v>
      </c>
      <c r="G2" s="185" t="s">
        <v>40</v>
      </c>
      <c r="H2" s="185" t="s">
        <v>41</v>
      </c>
      <c r="I2" s="185" t="s">
        <v>42</v>
      </c>
      <c r="J2" s="185" t="s">
        <v>494</v>
      </c>
      <c r="K2" s="185" t="s">
        <v>495</v>
      </c>
      <c r="L2" s="185" t="s">
        <v>496</v>
      </c>
    </row>
    <row r="3" spans="1:12" ht="15" x14ac:dyDescent="0.25">
      <c r="A3" s="140"/>
      <c r="B3" s="206" t="s">
        <v>722</v>
      </c>
      <c r="C3" s="213"/>
      <c r="D3" s="213"/>
      <c r="E3" s="213"/>
      <c r="F3" s="213"/>
      <c r="G3" s="213"/>
      <c r="H3" s="213"/>
      <c r="I3" s="213"/>
      <c r="J3" s="116"/>
      <c r="K3" s="116"/>
      <c r="L3" s="116"/>
    </row>
    <row r="4" spans="1:12" ht="15" x14ac:dyDescent="0.25">
      <c r="A4" s="138" t="s">
        <v>77</v>
      </c>
      <c r="B4" s="206" t="str">
        <f>'Output Schedule'!A27</f>
        <v>Rice</v>
      </c>
      <c r="C4" s="115"/>
      <c r="D4" s="115"/>
      <c r="E4" s="115"/>
      <c r="F4" s="115"/>
      <c r="G4" s="115"/>
      <c r="H4" s="116"/>
      <c r="I4" s="116"/>
      <c r="J4" s="116"/>
      <c r="K4" s="116"/>
      <c r="L4" s="116"/>
    </row>
    <row r="5" spans="1:12" x14ac:dyDescent="0.2">
      <c r="A5" s="140"/>
      <c r="B5" s="115" t="s">
        <v>78</v>
      </c>
      <c r="C5" s="115">
        <f>0</f>
        <v>0</v>
      </c>
      <c r="D5" s="115">
        <f>C8</f>
        <v>7</v>
      </c>
      <c r="E5" s="115">
        <f>D8</f>
        <v>8</v>
      </c>
      <c r="F5" s="115">
        <f>E8</f>
        <v>9</v>
      </c>
      <c r="G5" s="115">
        <f>F8</f>
        <v>9</v>
      </c>
      <c r="H5" s="115">
        <f t="shared" ref="H5:I5" si="0">G8</f>
        <v>10</v>
      </c>
      <c r="I5" s="115">
        <f t="shared" si="0"/>
        <v>11</v>
      </c>
      <c r="J5" s="115">
        <f t="shared" ref="J5" si="1">I8</f>
        <v>12</v>
      </c>
      <c r="K5" s="115">
        <f t="shared" ref="K5" si="2">J8</f>
        <v>12</v>
      </c>
      <c r="L5" s="115">
        <f t="shared" ref="L5" si="3">K8</f>
        <v>13</v>
      </c>
    </row>
    <row r="6" spans="1:12" x14ac:dyDescent="0.2">
      <c r="A6" s="140"/>
      <c r="B6" s="115" t="s">
        <v>79</v>
      </c>
      <c r="C6" s="214">
        <f>'Output Schedule'!B27</f>
        <v>168</v>
      </c>
      <c r="D6" s="214">
        <f>'Output Schedule'!C27</f>
        <v>185</v>
      </c>
      <c r="E6" s="214">
        <f>'Output Schedule'!D27</f>
        <v>202</v>
      </c>
      <c r="F6" s="214">
        <f>'Output Schedule'!E27</f>
        <v>218</v>
      </c>
      <c r="G6" s="214">
        <f>'Output Schedule'!F27</f>
        <v>235</v>
      </c>
      <c r="H6" s="214">
        <f>'Output Schedule'!G27</f>
        <v>252</v>
      </c>
      <c r="I6" s="214">
        <f>'Output Schedule'!H27</f>
        <v>269</v>
      </c>
      <c r="J6" s="214">
        <f>'Output Schedule'!I27</f>
        <v>286</v>
      </c>
      <c r="K6" s="214">
        <f>'Output Schedule'!J27</f>
        <v>302</v>
      </c>
      <c r="L6" s="214">
        <f>'Output Schedule'!K27</f>
        <v>319</v>
      </c>
    </row>
    <row r="7" spans="1:12" x14ac:dyDescent="0.2">
      <c r="A7" s="140"/>
      <c r="B7" s="115" t="s">
        <v>80</v>
      </c>
      <c r="C7" s="115">
        <f>C5+C6-C8</f>
        <v>161</v>
      </c>
      <c r="D7" s="115">
        <f>D5+D6-D8</f>
        <v>184</v>
      </c>
      <c r="E7" s="115">
        <f>E5+E6-E8</f>
        <v>201</v>
      </c>
      <c r="F7" s="115">
        <f>F5+F6-F8</f>
        <v>218</v>
      </c>
      <c r="G7" s="115">
        <f>G5+G6-G8</f>
        <v>234</v>
      </c>
      <c r="H7" s="115">
        <f t="shared" ref="H7:I7" si="4">H5+H6-H8</f>
        <v>251</v>
      </c>
      <c r="I7" s="115">
        <f t="shared" si="4"/>
        <v>268</v>
      </c>
      <c r="J7" s="115">
        <f t="shared" ref="J7:L7" si="5">J5+J6-J8</f>
        <v>286</v>
      </c>
      <c r="K7" s="115">
        <f t="shared" si="5"/>
        <v>301</v>
      </c>
      <c r="L7" s="115">
        <f t="shared" si="5"/>
        <v>318</v>
      </c>
    </row>
    <row r="8" spans="1:12" x14ac:dyDescent="0.2">
      <c r="A8" s="140"/>
      <c r="B8" s="115" t="s">
        <v>81</v>
      </c>
      <c r="C8" s="115">
        <f>ROUND((C6+C5)/24,0)</f>
        <v>7</v>
      </c>
      <c r="D8" s="115">
        <f t="shared" ref="D8:L8" si="6">ROUND((D6+D5)/24,0)</f>
        <v>8</v>
      </c>
      <c r="E8" s="115">
        <f t="shared" si="6"/>
        <v>9</v>
      </c>
      <c r="F8" s="115">
        <f t="shared" si="6"/>
        <v>9</v>
      </c>
      <c r="G8" s="115">
        <f t="shared" si="6"/>
        <v>10</v>
      </c>
      <c r="H8" s="115">
        <f t="shared" si="6"/>
        <v>11</v>
      </c>
      <c r="I8" s="115">
        <f t="shared" si="6"/>
        <v>12</v>
      </c>
      <c r="J8" s="115">
        <f t="shared" si="6"/>
        <v>12</v>
      </c>
      <c r="K8" s="115">
        <f t="shared" si="6"/>
        <v>13</v>
      </c>
      <c r="L8" s="115">
        <f t="shared" si="6"/>
        <v>14</v>
      </c>
    </row>
    <row r="9" spans="1:12" x14ac:dyDescent="0.2">
      <c r="A9" s="116"/>
      <c r="B9" s="12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s="139" customFormat="1" ht="15" x14ac:dyDescent="0.25">
      <c r="A10" s="138" t="s">
        <v>82</v>
      </c>
      <c r="B10" s="141" t="str">
        <f>+'Output Schedule'!A28</f>
        <v>Husk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</row>
    <row r="11" spans="1:12" x14ac:dyDescent="0.2">
      <c r="A11" s="116"/>
      <c r="B11" s="115" t="s">
        <v>78</v>
      </c>
      <c r="C11" s="115">
        <f>0</f>
        <v>0</v>
      </c>
      <c r="D11" s="115">
        <f>C14</f>
        <v>3</v>
      </c>
      <c r="E11" s="115">
        <f>D14</f>
        <v>3</v>
      </c>
      <c r="F11" s="115">
        <f>E14</f>
        <v>4</v>
      </c>
      <c r="G11" s="115">
        <f>F14</f>
        <v>4</v>
      </c>
      <c r="H11" s="115">
        <f t="shared" ref="H11:I11" si="7">G14</f>
        <v>4</v>
      </c>
      <c r="I11" s="115">
        <f t="shared" si="7"/>
        <v>5</v>
      </c>
      <c r="J11" s="115">
        <f t="shared" ref="J11" si="8">I14</f>
        <v>5</v>
      </c>
      <c r="K11" s="115">
        <f t="shared" ref="K11" si="9">J14</f>
        <v>5</v>
      </c>
      <c r="L11" s="115">
        <f t="shared" ref="L11" si="10">K14</f>
        <v>5</v>
      </c>
    </row>
    <row r="12" spans="1:12" x14ac:dyDescent="0.2">
      <c r="A12" s="116"/>
      <c r="B12" s="115" t="s">
        <v>79</v>
      </c>
      <c r="C12" s="214">
        <f>'Output Schedule'!B28</f>
        <v>70</v>
      </c>
      <c r="D12" s="214">
        <f>'Output Schedule'!C28</f>
        <v>77</v>
      </c>
      <c r="E12" s="214">
        <f>'Output Schedule'!D28</f>
        <v>84</v>
      </c>
      <c r="F12" s="214">
        <f>'Output Schedule'!E28</f>
        <v>91</v>
      </c>
      <c r="G12" s="214">
        <f>'Output Schedule'!F28</f>
        <v>98</v>
      </c>
      <c r="H12" s="214">
        <f>'Output Schedule'!G28</f>
        <v>105</v>
      </c>
      <c r="I12" s="214">
        <f>'Output Schedule'!H28</f>
        <v>112</v>
      </c>
      <c r="J12" s="214">
        <f>'Output Schedule'!I28</f>
        <v>119</v>
      </c>
      <c r="K12" s="214">
        <f>'Output Schedule'!J28</f>
        <v>126</v>
      </c>
      <c r="L12" s="214">
        <f>'Output Schedule'!K28</f>
        <v>133</v>
      </c>
    </row>
    <row r="13" spans="1:12" x14ac:dyDescent="0.2">
      <c r="A13" s="116"/>
      <c r="B13" s="115" t="s">
        <v>80</v>
      </c>
      <c r="C13" s="115">
        <f>C11+C12-C14</f>
        <v>67</v>
      </c>
      <c r="D13" s="115">
        <f>D11+D12-D14</f>
        <v>77</v>
      </c>
      <c r="E13" s="115">
        <f>E11+E12-E14</f>
        <v>83</v>
      </c>
      <c r="F13" s="115">
        <f>F11+F12-F14</f>
        <v>91</v>
      </c>
      <c r="G13" s="115">
        <f>G11+G12-G14</f>
        <v>98</v>
      </c>
      <c r="H13" s="115">
        <f t="shared" ref="H13:I13" si="11">H11+H12-H14</f>
        <v>104</v>
      </c>
      <c r="I13" s="115">
        <f t="shared" si="11"/>
        <v>112</v>
      </c>
      <c r="J13" s="115">
        <f t="shared" ref="J13:L13" si="12">J11+J12-J14</f>
        <v>119</v>
      </c>
      <c r="K13" s="115">
        <f t="shared" si="12"/>
        <v>126</v>
      </c>
      <c r="L13" s="115">
        <f t="shared" si="12"/>
        <v>132</v>
      </c>
    </row>
    <row r="14" spans="1:12" x14ac:dyDescent="0.2">
      <c r="A14" s="116"/>
      <c r="B14" s="115" t="s">
        <v>81</v>
      </c>
      <c r="C14" s="115">
        <f>ROUND((C12+C11)/24,0)</f>
        <v>3</v>
      </c>
      <c r="D14" s="115">
        <f t="shared" ref="D14:L14" si="13">ROUND((D12+D11)/24,0)</f>
        <v>3</v>
      </c>
      <c r="E14" s="115">
        <f t="shared" si="13"/>
        <v>4</v>
      </c>
      <c r="F14" s="115">
        <f t="shared" si="13"/>
        <v>4</v>
      </c>
      <c r="G14" s="115">
        <f t="shared" si="13"/>
        <v>4</v>
      </c>
      <c r="H14" s="115">
        <f t="shared" si="13"/>
        <v>5</v>
      </c>
      <c r="I14" s="115">
        <f t="shared" si="13"/>
        <v>5</v>
      </c>
      <c r="J14" s="115">
        <f t="shared" si="13"/>
        <v>5</v>
      </c>
      <c r="K14" s="115">
        <f t="shared" si="13"/>
        <v>5</v>
      </c>
      <c r="L14" s="115">
        <f t="shared" si="13"/>
        <v>6</v>
      </c>
    </row>
    <row r="15" spans="1:12" x14ac:dyDescent="0.2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1:12" ht="15" x14ac:dyDescent="0.25">
      <c r="A16" s="138" t="s">
        <v>83</v>
      </c>
      <c r="B16" s="206" t="str">
        <f>'Output Schedule'!A29</f>
        <v>Broken</v>
      </c>
      <c r="C16" s="141"/>
      <c r="D16" s="141"/>
      <c r="E16" s="141"/>
      <c r="F16" s="141"/>
      <c r="G16" s="141"/>
      <c r="H16" s="141"/>
      <c r="I16" s="141"/>
      <c r="J16" s="116"/>
      <c r="K16" s="116"/>
      <c r="L16" s="116"/>
    </row>
    <row r="17" spans="1:12" x14ac:dyDescent="0.2">
      <c r="A17" s="116"/>
      <c r="B17" s="115" t="s">
        <v>78</v>
      </c>
      <c r="C17" s="115">
        <f>0</f>
        <v>0</v>
      </c>
      <c r="D17" s="115">
        <f>C20</f>
        <v>1</v>
      </c>
      <c r="E17" s="115">
        <f>D20</f>
        <v>2</v>
      </c>
      <c r="F17" s="115">
        <f>E20</f>
        <v>2</v>
      </c>
      <c r="G17" s="115">
        <f>F20</f>
        <v>2</v>
      </c>
      <c r="H17" s="115">
        <f t="shared" ref="H17:I17" si="14">G20</f>
        <v>2</v>
      </c>
      <c r="I17" s="115">
        <f t="shared" si="14"/>
        <v>2</v>
      </c>
      <c r="J17" s="115">
        <f t="shared" ref="J17" si="15">I20</f>
        <v>2</v>
      </c>
      <c r="K17" s="115">
        <f t="shared" ref="K17" si="16">J20</f>
        <v>3</v>
      </c>
      <c r="L17" s="115">
        <f t="shared" ref="L17" si="17">K20</f>
        <v>3</v>
      </c>
    </row>
    <row r="18" spans="1:12" x14ac:dyDescent="0.2">
      <c r="A18" s="116"/>
      <c r="B18" s="115" t="s">
        <v>79</v>
      </c>
      <c r="C18" s="214">
        <f>'Output Schedule'!B29</f>
        <v>35</v>
      </c>
      <c r="D18" s="214">
        <f>'Output Schedule'!C29</f>
        <v>39</v>
      </c>
      <c r="E18" s="214">
        <f>'Output Schedule'!D29</f>
        <v>42</v>
      </c>
      <c r="F18" s="214">
        <f>'Output Schedule'!E29</f>
        <v>46</v>
      </c>
      <c r="G18" s="214">
        <f>'Output Schedule'!F29</f>
        <v>49</v>
      </c>
      <c r="H18" s="214">
        <f>'Output Schedule'!G29</f>
        <v>53</v>
      </c>
      <c r="I18" s="214">
        <f>'Output Schedule'!H29</f>
        <v>56</v>
      </c>
      <c r="J18" s="214">
        <f>'Output Schedule'!I29</f>
        <v>60</v>
      </c>
      <c r="K18" s="214">
        <f>'Output Schedule'!J29</f>
        <v>63</v>
      </c>
      <c r="L18" s="214">
        <f>'Output Schedule'!K29</f>
        <v>67</v>
      </c>
    </row>
    <row r="19" spans="1:12" x14ac:dyDescent="0.2">
      <c r="A19" s="116"/>
      <c r="B19" s="115" t="s">
        <v>80</v>
      </c>
      <c r="C19" s="115">
        <f>C17+C18-C20</f>
        <v>34</v>
      </c>
      <c r="D19" s="115">
        <f>D17+D18-D20</f>
        <v>38</v>
      </c>
      <c r="E19" s="115">
        <f>E17+E18-E20</f>
        <v>42</v>
      </c>
      <c r="F19" s="115">
        <f>F17+F18-F20</f>
        <v>46</v>
      </c>
      <c r="G19" s="115">
        <f>G17+G18-G20</f>
        <v>49</v>
      </c>
      <c r="H19" s="115">
        <f t="shared" ref="H19:I19" si="18">H17+H18-H20</f>
        <v>53</v>
      </c>
      <c r="I19" s="115">
        <f t="shared" si="18"/>
        <v>56</v>
      </c>
      <c r="J19" s="115">
        <f t="shared" ref="J19:L19" si="19">J17+J18-J20</f>
        <v>59</v>
      </c>
      <c r="K19" s="115">
        <f t="shared" si="19"/>
        <v>63</v>
      </c>
      <c r="L19" s="115">
        <f t="shared" si="19"/>
        <v>67</v>
      </c>
    </row>
    <row r="20" spans="1:12" x14ac:dyDescent="0.2">
      <c r="A20" s="116"/>
      <c r="B20" s="115" t="s">
        <v>81</v>
      </c>
      <c r="C20" s="115">
        <f>ROUND((C18+C17)/24,0)</f>
        <v>1</v>
      </c>
      <c r="D20" s="115">
        <f t="shared" ref="D20:L20" si="20">ROUND((D18+D17)/24,0)</f>
        <v>2</v>
      </c>
      <c r="E20" s="115">
        <f t="shared" si="20"/>
        <v>2</v>
      </c>
      <c r="F20" s="115">
        <f t="shared" si="20"/>
        <v>2</v>
      </c>
      <c r="G20" s="115">
        <f t="shared" si="20"/>
        <v>2</v>
      </c>
      <c r="H20" s="115">
        <f t="shared" si="20"/>
        <v>2</v>
      </c>
      <c r="I20" s="115">
        <f t="shared" si="20"/>
        <v>2</v>
      </c>
      <c r="J20" s="115">
        <f t="shared" si="20"/>
        <v>3</v>
      </c>
      <c r="K20" s="115">
        <f t="shared" si="20"/>
        <v>3</v>
      </c>
      <c r="L20" s="115">
        <f t="shared" si="20"/>
        <v>3</v>
      </c>
    </row>
    <row r="21" spans="1:12" x14ac:dyDescent="0.2">
      <c r="A21" s="116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2" ht="15" x14ac:dyDescent="0.25">
      <c r="A22" s="138" t="s">
        <v>401</v>
      </c>
      <c r="B22" s="206" t="str">
        <f>'Output Schedule'!A30</f>
        <v>Bran</v>
      </c>
      <c r="C22" s="141"/>
      <c r="D22" s="141"/>
      <c r="E22" s="141"/>
      <c r="F22" s="141"/>
      <c r="G22" s="141"/>
      <c r="H22" s="141"/>
      <c r="I22" s="141"/>
      <c r="J22" s="116"/>
      <c r="K22" s="116"/>
      <c r="L22" s="116"/>
    </row>
    <row r="23" spans="1:12" x14ac:dyDescent="0.2">
      <c r="A23" s="116"/>
      <c r="B23" s="115" t="s">
        <v>78</v>
      </c>
      <c r="C23" s="115">
        <f>0</f>
        <v>0</v>
      </c>
      <c r="D23" s="115">
        <f>C26</f>
        <v>1</v>
      </c>
      <c r="E23" s="115">
        <f>D26</f>
        <v>1</v>
      </c>
      <c r="F23" s="115">
        <f>E26</f>
        <v>1</v>
      </c>
      <c r="G23" s="115">
        <f>F26</f>
        <v>1</v>
      </c>
      <c r="H23" s="115">
        <f t="shared" ref="H23" si="21">G26</f>
        <v>1</v>
      </c>
      <c r="I23" s="115">
        <f t="shared" ref="I23" si="22">H26</f>
        <v>2</v>
      </c>
      <c r="J23" s="115">
        <f t="shared" ref="J23" si="23">I26</f>
        <v>2</v>
      </c>
      <c r="K23" s="115">
        <f t="shared" ref="K23" si="24">J26</f>
        <v>2</v>
      </c>
      <c r="L23" s="115">
        <f t="shared" ref="L23" si="25">K26</f>
        <v>2</v>
      </c>
    </row>
    <row r="24" spans="1:12" x14ac:dyDescent="0.2">
      <c r="A24" s="116"/>
      <c r="B24" s="115" t="s">
        <v>79</v>
      </c>
      <c r="C24" s="214">
        <f>'Output Schedule'!B30</f>
        <v>25</v>
      </c>
      <c r="D24" s="214">
        <f>'Output Schedule'!C30</f>
        <v>27</v>
      </c>
      <c r="E24" s="214">
        <f>'Output Schedule'!D30</f>
        <v>29</v>
      </c>
      <c r="F24" s="214">
        <f>'Output Schedule'!E30</f>
        <v>32</v>
      </c>
      <c r="G24" s="214">
        <f>'Output Schedule'!F30</f>
        <v>34</v>
      </c>
      <c r="H24" s="214">
        <f>'Output Schedule'!G30</f>
        <v>37</v>
      </c>
      <c r="I24" s="214">
        <f>'Output Schedule'!H30</f>
        <v>39</v>
      </c>
      <c r="J24" s="214">
        <f>'Output Schedule'!I30</f>
        <v>42</v>
      </c>
      <c r="K24" s="214">
        <f>'Output Schedule'!J30</f>
        <v>44</v>
      </c>
      <c r="L24" s="214">
        <f>'Output Schedule'!K30</f>
        <v>47</v>
      </c>
    </row>
    <row r="25" spans="1:12" x14ac:dyDescent="0.2">
      <c r="A25" s="116"/>
      <c r="B25" s="115" t="s">
        <v>80</v>
      </c>
      <c r="C25" s="115">
        <f>C23+C24-C26</f>
        <v>24</v>
      </c>
      <c r="D25" s="115">
        <f>D23+D24-D26</f>
        <v>27</v>
      </c>
      <c r="E25" s="115">
        <f>E23+E24-E26</f>
        <v>29</v>
      </c>
      <c r="F25" s="115">
        <f>F23+F24-F26</f>
        <v>32</v>
      </c>
      <c r="G25" s="115">
        <f>G23+G24-G26</f>
        <v>34</v>
      </c>
      <c r="H25" s="115">
        <f t="shared" ref="H25:L25" si="26">H23+H24-H26</f>
        <v>36</v>
      </c>
      <c r="I25" s="115">
        <f t="shared" si="26"/>
        <v>39</v>
      </c>
      <c r="J25" s="115">
        <f t="shared" si="26"/>
        <v>42</v>
      </c>
      <c r="K25" s="115">
        <f t="shared" si="26"/>
        <v>44</v>
      </c>
      <c r="L25" s="115">
        <f t="shared" si="26"/>
        <v>47</v>
      </c>
    </row>
    <row r="26" spans="1:12" x14ac:dyDescent="0.2">
      <c r="A26" s="116"/>
      <c r="B26" s="115" t="s">
        <v>81</v>
      </c>
      <c r="C26" s="115">
        <f>ROUND(C24/24,0)</f>
        <v>1</v>
      </c>
      <c r="D26" s="115">
        <f t="shared" ref="D26:L26" si="27">ROUND(D24/24,0)</f>
        <v>1</v>
      </c>
      <c r="E26" s="115">
        <f t="shared" si="27"/>
        <v>1</v>
      </c>
      <c r="F26" s="115">
        <f t="shared" si="27"/>
        <v>1</v>
      </c>
      <c r="G26" s="115">
        <f t="shared" si="27"/>
        <v>1</v>
      </c>
      <c r="H26" s="115">
        <f t="shared" si="27"/>
        <v>2</v>
      </c>
      <c r="I26" s="115">
        <f t="shared" si="27"/>
        <v>2</v>
      </c>
      <c r="J26" s="115">
        <f t="shared" si="27"/>
        <v>2</v>
      </c>
      <c r="K26" s="115">
        <f t="shared" si="27"/>
        <v>2</v>
      </c>
      <c r="L26" s="115">
        <f t="shared" si="27"/>
        <v>2</v>
      </c>
    </row>
    <row r="27" spans="1:12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1:12" ht="15" x14ac:dyDescent="0.25">
      <c r="A28" s="138" t="s">
        <v>401</v>
      </c>
      <c r="B28" s="206" t="str">
        <f>'Output Schedule'!A31</f>
        <v>Jari</v>
      </c>
      <c r="C28" s="141"/>
      <c r="D28" s="141"/>
      <c r="E28" s="141"/>
      <c r="F28" s="141"/>
      <c r="G28" s="141"/>
      <c r="H28" s="141"/>
      <c r="I28" s="141"/>
      <c r="J28" s="116"/>
      <c r="K28" s="116"/>
      <c r="L28" s="116"/>
    </row>
    <row r="29" spans="1:12" x14ac:dyDescent="0.2">
      <c r="A29" s="116"/>
      <c r="B29" s="115" t="s">
        <v>78</v>
      </c>
      <c r="C29" s="115">
        <f>0</f>
        <v>0</v>
      </c>
      <c r="D29" s="115">
        <f>C32</f>
        <v>1</v>
      </c>
      <c r="E29" s="115">
        <f>D32</f>
        <v>1</v>
      </c>
      <c r="F29" s="115">
        <f>E32</f>
        <v>1</v>
      </c>
      <c r="G29" s="115">
        <f>F32</f>
        <v>1</v>
      </c>
      <c r="H29" s="115">
        <f t="shared" ref="H29" si="28">G32</f>
        <v>1</v>
      </c>
      <c r="I29" s="115">
        <f t="shared" ref="I29" si="29">H32</f>
        <v>1</v>
      </c>
      <c r="J29" s="115">
        <f t="shared" ref="J29" si="30">I32</f>
        <v>1</v>
      </c>
      <c r="K29" s="115">
        <f t="shared" ref="K29" si="31">J32</f>
        <v>1</v>
      </c>
      <c r="L29" s="115">
        <f t="shared" ref="L29" si="32">K32</f>
        <v>1</v>
      </c>
    </row>
    <row r="30" spans="1:12" x14ac:dyDescent="0.2">
      <c r="A30" s="116"/>
      <c r="B30" s="115" t="s">
        <v>79</v>
      </c>
      <c r="C30" s="214">
        <f>'Output Schedule'!B31</f>
        <v>18</v>
      </c>
      <c r="D30" s="214">
        <f>'Output Schedule'!C31</f>
        <v>19</v>
      </c>
      <c r="E30" s="214">
        <f>'Output Schedule'!D31</f>
        <v>21</v>
      </c>
      <c r="F30" s="214">
        <f>'Output Schedule'!E31</f>
        <v>23</v>
      </c>
      <c r="G30" s="214">
        <f>'Output Schedule'!F31</f>
        <v>25</v>
      </c>
      <c r="H30" s="214">
        <f>'Output Schedule'!G31</f>
        <v>26</v>
      </c>
      <c r="I30" s="214">
        <f>'Output Schedule'!H31</f>
        <v>28</v>
      </c>
      <c r="J30" s="214">
        <f>'Output Schedule'!I31</f>
        <v>30</v>
      </c>
      <c r="K30" s="214">
        <f>'Output Schedule'!J31</f>
        <v>32</v>
      </c>
      <c r="L30" s="214">
        <f>'Output Schedule'!K31</f>
        <v>33</v>
      </c>
    </row>
    <row r="31" spans="1:12" x14ac:dyDescent="0.2">
      <c r="A31" s="116"/>
      <c r="B31" s="115" t="s">
        <v>80</v>
      </c>
      <c r="C31" s="115">
        <f>C29+C30-C32</f>
        <v>17</v>
      </c>
      <c r="D31" s="115">
        <f>D29+D30-D32</f>
        <v>19</v>
      </c>
      <c r="E31" s="115">
        <f>E29+E30-E32</f>
        <v>21</v>
      </c>
      <c r="F31" s="115">
        <f>F29+F30-F32</f>
        <v>23</v>
      </c>
      <c r="G31" s="115">
        <f>G29+G30-G32</f>
        <v>25</v>
      </c>
      <c r="H31" s="115">
        <f t="shared" ref="H31:L31" si="33">H29+H30-H32</f>
        <v>26</v>
      </c>
      <c r="I31" s="115">
        <f t="shared" si="33"/>
        <v>28</v>
      </c>
      <c r="J31" s="115">
        <f t="shared" si="33"/>
        <v>30</v>
      </c>
      <c r="K31" s="115">
        <f t="shared" si="33"/>
        <v>32</v>
      </c>
      <c r="L31" s="115">
        <f t="shared" si="33"/>
        <v>33</v>
      </c>
    </row>
    <row r="32" spans="1:12" x14ac:dyDescent="0.2">
      <c r="A32" s="116"/>
      <c r="B32" s="115" t="s">
        <v>81</v>
      </c>
      <c r="C32" s="115">
        <f>ROUND(C30/24,0)</f>
        <v>1</v>
      </c>
      <c r="D32" s="115">
        <f t="shared" ref="D32:L32" si="34">ROUND(D30/24,0)</f>
        <v>1</v>
      </c>
      <c r="E32" s="115">
        <f t="shared" si="34"/>
        <v>1</v>
      </c>
      <c r="F32" s="115">
        <f t="shared" si="34"/>
        <v>1</v>
      </c>
      <c r="G32" s="115">
        <f t="shared" si="34"/>
        <v>1</v>
      </c>
      <c r="H32" s="115">
        <f t="shared" si="34"/>
        <v>1</v>
      </c>
      <c r="I32" s="115">
        <f t="shared" si="34"/>
        <v>1</v>
      </c>
      <c r="J32" s="115">
        <f t="shared" si="34"/>
        <v>1</v>
      </c>
      <c r="K32" s="115">
        <f t="shared" si="34"/>
        <v>1</v>
      </c>
      <c r="L32" s="115">
        <f t="shared" si="34"/>
        <v>1</v>
      </c>
    </row>
    <row r="33" spans="1:12" x14ac:dyDescent="0.2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</row>
    <row r="34" spans="1:12" ht="15" x14ac:dyDescent="0.25">
      <c r="A34" s="116"/>
      <c r="B34" s="206" t="s">
        <v>84</v>
      </c>
      <c r="C34" s="115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2">
      <c r="A35" s="140" t="s">
        <v>77</v>
      </c>
      <c r="B35" s="228" t="str">
        <f>+B4</f>
        <v>Rice</v>
      </c>
      <c r="C35" s="202">
        <v>27000</v>
      </c>
      <c r="D35" s="195">
        <f>ROUND(C35*1.05,-1)</f>
        <v>28350</v>
      </c>
      <c r="E35" s="195">
        <f t="shared" ref="E35:L35" si="35">ROUND(D35*1.05,-1)</f>
        <v>29770</v>
      </c>
      <c r="F35" s="195">
        <f t="shared" si="35"/>
        <v>31260</v>
      </c>
      <c r="G35" s="195">
        <f t="shared" si="35"/>
        <v>32820</v>
      </c>
      <c r="H35" s="195">
        <f t="shared" si="35"/>
        <v>34460</v>
      </c>
      <c r="I35" s="195">
        <f t="shared" si="35"/>
        <v>36180</v>
      </c>
      <c r="J35" s="195">
        <f t="shared" si="35"/>
        <v>37990</v>
      </c>
      <c r="K35" s="195">
        <f t="shared" si="35"/>
        <v>39890</v>
      </c>
      <c r="L35" s="195">
        <f t="shared" si="35"/>
        <v>41880</v>
      </c>
    </row>
    <row r="36" spans="1:12" x14ac:dyDescent="0.2">
      <c r="A36" s="140" t="s">
        <v>82</v>
      </c>
      <c r="B36" s="228" t="str">
        <f>B10</f>
        <v>Husk</v>
      </c>
      <c r="C36" s="202">
        <v>2000</v>
      </c>
      <c r="D36" s="195">
        <f>ROUND(C36*1.05,-1)</f>
        <v>2100</v>
      </c>
      <c r="E36" s="195">
        <f t="shared" ref="E36:L36" si="36">ROUND(D36*1.05,-1)</f>
        <v>2210</v>
      </c>
      <c r="F36" s="195">
        <f t="shared" si="36"/>
        <v>2320</v>
      </c>
      <c r="G36" s="195">
        <f t="shared" si="36"/>
        <v>2440</v>
      </c>
      <c r="H36" s="195">
        <f t="shared" si="36"/>
        <v>2560</v>
      </c>
      <c r="I36" s="195">
        <f t="shared" si="36"/>
        <v>2690</v>
      </c>
      <c r="J36" s="195">
        <f t="shared" si="36"/>
        <v>2820</v>
      </c>
      <c r="K36" s="195">
        <f t="shared" si="36"/>
        <v>2960</v>
      </c>
      <c r="L36" s="195">
        <f t="shared" si="36"/>
        <v>3110</v>
      </c>
    </row>
    <row r="37" spans="1:12" x14ac:dyDescent="0.2">
      <c r="A37" s="140" t="s">
        <v>83</v>
      </c>
      <c r="B37" s="228" t="str">
        <f>B16</f>
        <v>Broken</v>
      </c>
      <c r="C37" s="202">
        <v>18000</v>
      </c>
      <c r="D37" s="195">
        <f>ROUND(C37*1.05,-1)</f>
        <v>18900</v>
      </c>
      <c r="E37" s="195">
        <f t="shared" ref="E37:L37" si="37">ROUND(D37*1.05,-1)</f>
        <v>19850</v>
      </c>
      <c r="F37" s="195">
        <f t="shared" si="37"/>
        <v>20840</v>
      </c>
      <c r="G37" s="195">
        <f t="shared" si="37"/>
        <v>21880</v>
      </c>
      <c r="H37" s="195">
        <f t="shared" si="37"/>
        <v>22970</v>
      </c>
      <c r="I37" s="195">
        <f t="shared" si="37"/>
        <v>24120</v>
      </c>
      <c r="J37" s="195">
        <f t="shared" si="37"/>
        <v>25330</v>
      </c>
      <c r="K37" s="195">
        <f t="shared" si="37"/>
        <v>26600</v>
      </c>
      <c r="L37" s="195">
        <f t="shared" si="37"/>
        <v>27930</v>
      </c>
    </row>
    <row r="38" spans="1:12" x14ac:dyDescent="0.2">
      <c r="A38" s="140" t="s">
        <v>401</v>
      </c>
      <c r="B38" s="228" t="str">
        <f>B22</f>
        <v>Bran</v>
      </c>
      <c r="C38" s="202">
        <v>12000</v>
      </c>
      <c r="D38" s="195">
        <f>ROUND(C38*1.05,-1)</f>
        <v>12600</v>
      </c>
      <c r="E38" s="195">
        <f t="shared" ref="E38:L38" si="38">ROUND(D38*1.05,-1)</f>
        <v>13230</v>
      </c>
      <c r="F38" s="195">
        <f t="shared" si="38"/>
        <v>13890</v>
      </c>
      <c r="G38" s="195">
        <f t="shared" si="38"/>
        <v>14580</v>
      </c>
      <c r="H38" s="195">
        <f t="shared" si="38"/>
        <v>15310</v>
      </c>
      <c r="I38" s="195">
        <f t="shared" si="38"/>
        <v>16080</v>
      </c>
      <c r="J38" s="195">
        <f t="shared" si="38"/>
        <v>16880</v>
      </c>
      <c r="K38" s="195">
        <f t="shared" si="38"/>
        <v>17720</v>
      </c>
      <c r="L38" s="195">
        <f t="shared" si="38"/>
        <v>18610</v>
      </c>
    </row>
    <row r="39" spans="1:12" x14ac:dyDescent="0.2">
      <c r="A39" s="140" t="s">
        <v>402</v>
      </c>
      <c r="B39" s="228" t="str">
        <f>B28</f>
        <v>Jari</v>
      </c>
      <c r="C39" s="202">
        <v>12000</v>
      </c>
      <c r="D39" s="195">
        <f>ROUND(C39*1.05,-1)</f>
        <v>12600</v>
      </c>
      <c r="E39" s="195">
        <f t="shared" ref="E39" si="39">ROUND(D39*1.05,-1)</f>
        <v>13230</v>
      </c>
      <c r="F39" s="195">
        <f t="shared" ref="F39" si="40">ROUND(E39*1.05,-1)</f>
        <v>13890</v>
      </c>
      <c r="G39" s="195">
        <f t="shared" ref="G39" si="41">ROUND(F39*1.05,-1)</f>
        <v>14580</v>
      </c>
      <c r="H39" s="195">
        <f t="shared" ref="H39" si="42">ROUND(G39*1.05,-1)</f>
        <v>15310</v>
      </c>
      <c r="I39" s="195">
        <f t="shared" ref="I39" si="43">ROUND(H39*1.05,-1)</f>
        <v>16080</v>
      </c>
      <c r="J39" s="195">
        <f t="shared" ref="J39" si="44">ROUND(I39*1.05,-1)</f>
        <v>16880</v>
      </c>
      <c r="K39" s="195">
        <f t="shared" ref="K39" si="45">ROUND(J39*1.05,-1)</f>
        <v>17720</v>
      </c>
      <c r="L39" s="195">
        <f t="shared" ref="L39" si="46">ROUND(K39*1.05,-1)</f>
        <v>18610</v>
      </c>
    </row>
    <row r="40" spans="1:12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</row>
    <row r="41" spans="1:12" ht="15" x14ac:dyDescent="0.25">
      <c r="A41" s="141" t="s">
        <v>77</v>
      </c>
      <c r="B41" s="141" t="str">
        <f>B35</f>
        <v>Rice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</row>
    <row r="42" spans="1:12" x14ac:dyDescent="0.2">
      <c r="A42" s="116"/>
      <c r="B42" s="115" t="s">
        <v>70</v>
      </c>
      <c r="C42" s="202">
        <v>0</v>
      </c>
      <c r="D42" s="202">
        <f>C43</f>
        <v>1.89</v>
      </c>
      <c r="E42" s="202">
        <f>D43</f>
        <v>2.2679999999999998</v>
      </c>
      <c r="F42" s="202">
        <f t="shared" ref="F42:I42" si="47">E43</f>
        <v>2.6793</v>
      </c>
      <c r="G42" s="202">
        <f t="shared" si="47"/>
        <v>2.8134000000000001</v>
      </c>
      <c r="H42" s="202">
        <f t="shared" si="47"/>
        <v>3.282</v>
      </c>
      <c r="I42" s="202">
        <f t="shared" si="47"/>
        <v>3.7906</v>
      </c>
      <c r="J42" s="202">
        <f t="shared" ref="J42" si="48">I43</f>
        <v>4.3415999999999997</v>
      </c>
      <c r="K42" s="202">
        <f t="shared" ref="K42" si="49">J43</f>
        <v>4.5587999999999997</v>
      </c>
      <c r="L42" s="202">
        <f t="shared" ref="L42" si="50">K43</f>
        <v>5.1856999999999998</v>
      </c>
    </row>
    <row r="43" spans="1:12" x14ac:dyDescent="0.2">
      <c r="A43" s="116"/>
      <c r="B43" s="115" t="s">
        <v>71</v>
      </c>
      <c r="C43" s="202">
        <f t="shared" ref="C43:L43" si="51">C8*C35/100000</f>
        <v>1.89</v>
      </c>
      <c r="D43" s="202">
        <f t="shared" si="51"/>
        <v>2.2679999999999998</v>
      </c>
      <c r="E43" s="202">
        <f t="shared" si="51"/>
        <v>2.6793</v>
      </c>
      <c r="F43" s="202">
        <f t="shared" si="51"/>
        <v>2.8134000000000001</v>
      </c>
      <c r="G43" s="202">
        <f t="shared" si="51"/>
        <v>3.282</v>
      </c>
      <c r="H43" s="202">
        <f t="shared" si="51"/>
        <v>3.7906</v>
      </c>
      <c r="I43" s="202">
        <f t="shared" si="51"/>
        <v>4.3415999999999997</v>
      </c>
      <c r="J43" s="202">
        <f t="shared" si="51"/>
        <v>4.5587999999999997</v>
      </c>
      <c r="K43" s="202">
        <f t="shared" si="51"/>
        <v>5.1856999999999998</v>
      </c>
      <c r="L43" s="202">
        <f t="shared" si="51"/>
        <v>5.8632</v>
      </c>
    </row>
    <row r="44" spans="1:12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</row>
    <row r="45" spans="1:12" ht="15" x14ac:dyDescent="0.25">
      <c r="A45" s="141" t="s">
        <v>82</v>
      </c>
      <c r="B45" s="141" t="str">
        <f>B10</f>
        <v>Husk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</row>
    <row r="46" spans="1:12" x14ac:dyDescent="0.2">
      <c r="A46" s="116"/>
      <c r="B46" s="115" t="s">
        <v>70</v>
      </c>
      <c r="C46" s="202">
        <v>0</v>
      </c>
      <c r="D46" s="202">
        <f>C47</f>
        <v>0.06</v>
      </c>
      <c r="E46" s="202">
        <f>D47</f>
        <v>6.3E-2</v>
      </c>
      <c r="F46" s="202">
        <f t="shared" ref="F46:I46" si="52">E47</f>
        <v>8.8400000000000006E-2</v>
      </c>
      <c r="G46" s="202">
        <f t="shared" si="52"/>
        <v>9.2799999999999994E-2</v>
      </c>
      <c r="H46" s="202">
        <f t="shared" si="52"/>
        <v>9.7600000000000006E-2</v>
      </c>
      <c r="I46" s="202">
        <f t="shared" si="52"/>
        <v>0.128</v>
      </c>
      <c r="J46" s="202">
        <f t="shared" ref="J46" si="53">I47</f>
        <v>0.13450000000000001</v>
      </c>
      <c r="K46" s="202">
        <f t="shared" ref="K46" si="54">J47</f>
        <v>0.14099999999999999</v>
      </c>
      <c r="L46" s="202">
        <f t="shared" ref="L46" si="55">K47</f>
        <v>0.14799999999999999</v>
      </c>
    </row>
    <row r="47" spans="1:12" x14ac:dyDescent="0.2">
      <c r="A47" s="116"/>
      <c r="B47" s="115" t="s">
        <v>71</v>
      </c>
      <c r="C47" s="202">
        <f t="shared" ref="C47:L47" si="56">C36*C14/100000</f>
        <v>0.06</v>
      </c>
      <c r="D47" s="202">
        <f t="shared" si="56"/>
        <v>6.3E-2</v>
      </c>
      <c r="E47" s="202">
        <f t="shared" si="56"/>
        <v>8.8400000000000006E-2</v>
      </c>
      <c r="F47" s="202">
        <f t="shared" si="56"/>
        <v>9.2799999999999994E-2</v>
      </c>
      <c r="G47" s="202">
        <f t="shared" si="56"/>
        <v>9.7600000000000006E-2</v>
      </c>
      <c r="H47" s="202">
        <f t="shared" si="56"/>
        <v>0.128</v>
      </c>
      <c r="I47" s="202">
        <f t="shared" si="56"/>
        <v>0.13450000000000001</v>
      </c>
      <c r="J47" s="202">
        <f t="shared" si="56"/>
        <v>0.14099999999999999</v>
      </c>
      <c r="K47" s="202">
        <f t="shared" si="56"/>
        <v>0.14799999999999999</v>
      </c>
      <c r="L47" s="202">
        <f t="shared" si="56"/>
        <v>0.18659999999999999</v>
      </c>
    </row>
    <row r="48" spans="1:12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</row>
    <row r="49" spans="1:12" ht="15" x14ac:dyDescent="0.25">
      <c r="A49" s="141" t="s">
        <v>83</v>
      </c>
      <c r="B49" s="141" t="str">
        <f>B16</f>
        <v>Broken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  <row r="50" spans="1:12" x14ac:dyDescent="0.2">
      <c r="A50" s="116"/>
      <c r="B50" s="115" t="s">
        <v>70</v>
      </c>
      <c r="C50" s="202">
        <v>0</v>
      </c>
      <c r="D50" s="202">
        <f>C51</f>
        <v>0.18</v>
      </c>
      <c r="E50" s="202">
        <f>D51</f>
        <v>0.378</v>
      </c>
      <c r="F50" s="202">
        <f t="shared" ref="F50:I50" si="57">E51</f>
        <v>0.39700000000000002</v>
      </c>
      <c r="G50" s="202">
        <f t="shared" si="57"/>
        <v>0.4168</v>
      </c>
      <c r="H50" s="202">
        <f t="shared" si="57"/>
        <v>0.43759999999999999</v>
      </c>
      <c r="I50" s="202">
        <f t="shared" si="57"/>
        <v>0.45939999999999998</v>
      </c>
      <c r="J50" s="202">
        <f t="shared" ref="J50" si="58">I51</f>
        <v>0.4824</v>
      </c>
      <c r="K50" s="202">
        <f t="shared" ref="K50" si="59">J51</f>
        <v>0.75990000000000002</v>
      </c>
      <c r="L50" s="202">
        <f t="shared" ref="L50" si="60">K51</f>
        <v>0.79800000000000004</v>
      </c>
    </row>
    <row r="51" spans="1:12" x14ac:dyDescent="0.2">
      <c r="A51" s="116"/>
      <c r="B51" s="115" t="s">
        <v>71</v>
      </c>
      <c r="C51" s="202">
        <f t="shared" ref="C51:L51" si="61">C37*C20/100000</f>
        <v>0.18</v>
      </c>
      <c r="D51" s="202">
        <f t="shared" si="61"/>
        <v>0.378</v>
      </c>
      <c r="E51" s="202">
        <f t="shared" si="61"/>
        <v>0.39700000000000002</v>
      </c>
      <c r="F51" s="202">
        <f t="shared" si="61"/>
        <v>0.4168</v>
      </c>
      <c r="G51" s="202">
        <f t="shared" si="61"/>
        <v>0.43759999999999999</v>
      </c>
      <c r="H51" s="202">
        <f t="shared" si="61"/>
        <v>0.45939999999999998</v>
      </c>
      <c r="I51" s="202">
        <f t="shared" si="61"/>
        <v>0.4824</v>
      </c>
      <c r="J51" s="202">
        <f t="shared" si="61"/>
        <v>0.75990000000000002</v>
      </c>
      <c r="K51" s="202">
        <f t="shared" si="61"/>
        <v>0.79800000000000004</v>
      </c>
      <c r="L51" s="202">
        <f t="shared" si="61"/>
        <v>0.83789999999999998</v>
      </c>
    </row>
    <row r="52" spans="1:12" x14ac:dyDescent="0.2">
      <c r="A52" s="116"/>
      <c r="B52" s="115"/>
      <c r="C52" s="202"/>
      <c r="D52" s="202"/>
      <c r="E52" s="202"/>
      <c r="F52" s="202"/>
      <c r="G52" s="202"/>
      <c r="H52" s="202"/>
      <c r="I52" s="202"/>
      <c r="J52" s="116"/>
      <c r="K52" s="116"/>
      <c r="L52" s="116"/>
    </row>
    <row r="53" spans="1:12" ht="15" x14ac:dyDescent="0.25">
      <c r="A53" s="116" t="s">
        <v>401</v>
      </c>
      <c r="B53" s="141" t="str">
        <f>B22</f>
        <v>Bran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1:12" x14ac:dyDescent="0.2">
      <c r="A54" s="116"/>
      <c r="B54" s="115" t="s">
        <v>70</v>
      </c>
      <c r="C54" s="202">
        <v>0</v>
      </c>
      <c r="D54" s="202">
        <f>C55</f>
        <v>0.12</v>
      </c>
      <c r="E54" s="202">
        <f>D55</f>
        <v>0.126</v>
      </c>
      <c r="F54" s="202">
        <f t="shared" ref="F54" si="62">E55</f>
        <v>0.1323</v>
      </c>
      <c r="G54" s="202">
        <f t="shared" ref="G54" si="63">F55</f>
        <v>0.1389</v>
      </c>
      <c r="H54" s="202">
        <f t="shared" ref="H54" si="64">G55</f>
        <v>0.14580000000000001</v>
      </c>
      <c r="I54" s="202">
        <f t="shared" ref="I54" si="65">H55</f>
        <v>0.30620000000000003</v>
      </c>
      <c r="J54" s="202">
        <f t="shared" ref="J54" si="66">I55</f>
        <v>0.3216</v>
      </c>
      <c r="K54" s="202">
        <f t="shared" ref="K54" si="67">J55</f>
        <v>0.33760000000000001</v>
      </c>
      <c r="L54" s="202">
        <f t="shared" ref="L54" si="68">K55</f>
        <v>0.35439999999999999</v>
      </c>
    </row>
    <row r="55" spans="1:12" x14ac:dyDescent="0.2">
      <c r="A55" s="116"/>
      <c r="B55" s="115" t="s">
        <v>71</v>
      </c>
      <c r="C55" s="202">
        <f t="shared" ref="C55:L55" si="69">C38*C26/100000</f>
        <v>0.12</v>
      </c>
      <c r="D55" s="202">
        <f t="shared" si="69"/>
        <v>0.126</v>
      </c>
      <c r="E55" s="202">
        <f t="shared" si="69"/>
        <v>0.1323</v>
      </c>
      <c r="F55" s="202">
        <f t="shared" si="69"/>
        <v>0.1389</v>
      </c>
      <c r="G55" s="202">
        <f t="shared" si="69"/>
        <v>0.14580000000000001</v>
      </c>
      <c r="H55" s="202">
        <f t="shared" si="69"/>
        <v>0.30620000000000003</v>
      </c>
      <c r="I55" s="202">
        <f t="shared" si="69"/>
        <v>0.3216</v>
      </c>
      <c r="J55" s="202">
        <f t="shared" si="69"/>
        <v>0.33760000000000001</v>
      </c>
      <c r="K55" s="202">
        <f t="shared" si="69"/>
        <v>0.35439999999999999</v>
      </c>
      <c r="L55" s="202">
        <f t="shared" si="69"/>
        <v>0.37219999999999998</v>
      </c>
    </row>
    <row r="56" spans="1:12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</row>
    <row r="57" spans="1:12" ht="15" x14ac:dyDescent="0.25">
      <c r="A57" s="116" t="s">
        <v>401</v>
      </c>
      <c r="B57" s="141" t="str">
        <f>B28</f>
        <v>Jari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</row>
    <row r="58" spans="1:12" x14ac:dyDescent="0.2">
      <c r="A58" s="116"/>
      <c r="B58" s="115" t="s">
        <v>70</v>
      </c>
      <c r="C58" s="202">
        <v>0</v>
      </c>
      <c r="D58" s="202">
        <f>C59</f>
        <v>0.12</v>
      </c>
      <c r="E58" s="202">
        <f>D59</f>
        <v>0.126</v>
      </c>
      <c r="F58" s="202">
        <f t="shared" ref="F58" si="70">E59</f>
        <v>0.1323</v>
      </c>
      <c r="G58" s="202">
        <f t="shared" ref="G58" si="71">F59</f>
        <v>0.1389</v>
      </c>
      <c r="H58" s="202">
        <f t="shared" ref="H58" si="72">G59</f>
        <v>0.14580000000000001</v>
      </c>
      <c r="I58" s="202">
        <f t="shared" ref="I58" si="73">H59</f>
        <v>0.15310000000000001</v>
      </c>
      <c r="J58" s="202">
        <f t="shared" ref="J58" si="74">I59</f>
        <v>0.1608</v>
      </c>
      <c r="K58" s="202">
        <f t="shared" ref="K58" si="75">J59</f>
        <v>0.16880000000000001</v>
      </c>
      <c r="L58" s="202">
        <f t="shared" ref="L58" si="76">K59</f>
        <v>0.1772</v>
      </c>
    </row>
    <row r="59" spans="1:12" x14ac:dyDescent="0.2">
      <c r="A59" s="116"/>
      <c r="B59" s="115" t="s">
        <v>71</v>
      </c>
      <c r="C59" s="202">
        <f t="shared" ref="C59:L59" si="77">C39*C32/100000</f>
        <v>0.12</v>
      </c>
      <c r="D59" s="202">
        <f t="shared" si="77"/>
        <v>0.126</v>
      </c>
      <c r="E59" s="202">
        <f t="shared" si="77"/>
        <v>0.1323</v>
      </c>
      <c r="F59" s="202">
        <f t="shared" si="77"/>
        <v>0.1389</v>
      </c>
      <c r="G59" s="202">
        <f t="shared" si="77"/>
        <v>0.14580000000000001</v>
      </c>
      <c r="H59" s="202">
        <f t="shared" si="77"/>
        <v>0.15310000000000001</v>
      </c>
      <c r="I59" s="202">
        <f t="shared" si="77"/>
        <v>0.1608</v>
      </c>
      <c r="J59" s="202">
        <f t="shared" si="77"/>
        <v>0.16880000000000001</v>
      </c>
      <c r="K59" s="202">
        <f t="shared" si="77"/>
        <v>0.1772</v>
      </c>
      <c r="L59" s="202">
        <f t="shared" si="77"/>
        <v>0.18609999999999999</v>
      </c>
    </row>
    <row r="60" spans="1:12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</row>
    <row r="61" spans="1:12" ht="15" x14ac:dyDescent="0.25">
      <c r="A61" s="140"/>
      <c r="B61" s="206" t="s">
        <v>723</v>
      </c>
      <c r="C61" s="213"/>
      <c r="D61" s="213"/>
      <c r="E61" s="213"/>
      <c r="F61" s="213"/>
      <c r="G61" s="213"/>
      <c r="H61" s="213"/>
      <c r="I61" s="213"/>
      <c r="J61" s="116"/>
      <c r="K61" s="116"/>
      <c r="L61" s="116"/>
    </row>
    <row r="62" spans="1:12" ht="15" x14ac:dyDescent="0.25">
      <c r="A62" s="138" t="s">
        <v>77</v>
      </c>
      <c r="B62" s="206" t="str">
        <f>'Output Schedule'!A34</f>
        <v>Rice</v>
      </c>
      <c r="C62" s="115"/>
      <c r="D62" s="115"/>
      <c r="E62" s="115"/>
      <c r="F62" s="115"/>
      <c r="G62" s="115"/>
      <c r="H62" s="116"/>
      <c r="I62" s="116"/>
      <c r="J62" s="116"/>
      <c r="K62" s="116"/>
      <c r="L62" s="116"/>
    </row>
    <row r="63" spans="1:12" x14ac:dyDescent="0.2">
      <c r="A63" s="140"/>
      <c r="B63" s="115" t="s">
        <v>78</v>
      </c>
      <c r="C63" s="115">
        <f>0</f>
        <v>0</v>
      </c>
      <c r="D63" s="115">
        <f>C66</f>
        <v>3</v>
      </c>
      <c r="E63" s="115">
        <f>D66</f>
        <v>4</v>
      </c>
      <c r="F63" s="115">
        <f>E66</f>
        <v>4</v>
      </c>
      <c r="G63" s="115">
        <f>F66</f>
        <v>4</v>
      </c>
      <c r="H63" s="115">
        <f t="shared" ref="H63" si="78">G66</f>
        <v>5</v>
      </c>
      <c r="I63" s="115">
        <f t="shared" ref="I63" si="79">H66</f>
        <v>5</v>
      </c>
      <c r="J63" s="115">
        <f t="shared" ref="J63" si="80">I66</f>
        <v>5</v>
      </c>
      <c r="K63" s="115">
        <f t="shared" ref="K63" si="81">J66</f>
        <v>6</v>
      </c>
      <c r="L63" s="115">
        <f t="shared" ref="L63" si="82">K66</f>
        <v>6</v>
      </c>
    </row>
    <row r="64" spans="1:12" x14ac:dyDescent="0.2">
      <c r="A64" s="140"/>
      <c r="B64" s="115" t="s">
        <v>79</v>
      </c>
      <c r="C64" s="214">
        <f>+'Output Schedule'!B34</f>
        <v>75</v>
      </c>
      <c r="D64" s="214">
        <f>+'Output Schedule'!C34</f>
        <v>83</v>
      </c>
      <c r="E64" s="214">
        <f>+'Output Schedule'!D34</f>
        <v>90</v>
      </c>
      <c r="F64" s="214">
        <f>+'Output Schedule'!E34</f>
        <v>98</v>
      </c>
      <c r="G64" s="214">
        <f>+'Output Schedule'!F34</f>
        <v>105</v>
      </c>
      <c r="H64" s="214">
        <f>+'Output Schedule'!G34</f>
        <v>113</v>
      </c>
      <c r="I64" s="214">
        <f>+'Output Schedule'!H34</f>
        <v>120</v>
      </c>
      <c r="J64" s="214">
        <f>+'Output Schedule'!I34</f>
        <v>128</v>
      </c>
      <c r="K64" s="214">
        <f>+'Output Schedule'!J34</f>
        <v>135</v>
      </c>
      <c r="L64" s="214">
        <f>+'Output Schedule'!K34</f>
        <v>143</v>
      </c>
    </row>
    <row r="65" spans="1:12" x14ac:dyDescent="0.2">
      <c r="A65" s="140"/>
      <c r="B65" s="115" t="s">
        <v>80</v>
      </c>
      <c r="C65" s="115">
        <f>C63+C64-C66</f>
        <v>72</v>
      </c>
      <c r="D65" s="115">
        <f>D63+D64-D66</f>
        <v>82</v>
      </c>
      <c r="E65" s="115">
        <f>E63+E64-E66</f>
        <v>90</v>
      </c>
      <c r="F65" s="115">
        <f>F63+F64-F66</f>
        <v>98</v>
      </c>
      <c r="G65" s="115">
        <f>G63+G64-G66</f>
        <v>104</v>
      </c>
      <c r="H65" s="115">
        <f t="shared" ref="H65:L65" si="83">H63+H64-H66</f>
        <v>113</v>
      </c>
      <c r="I65" s="115">
        <f t="shared" si="83"/>
        <v>120</v>
      </c>
      <c r="J65" s="115">
        <f t="shared" si="83"/>
        <v>127</v>
      </c>
      <c r="K65" s="115">
        <f t="shared" si="83"/>
        <v>135</v>
      </c>
      <c r="L65" s="115">
        <f t="shared" si="83"/>
        <v>143</v>
      </c>
    </row>
    <row r="66" spans="1:12" x14ac:dyDescent="0.2">
      <c r="A66" s="140"/>
      <c r="B66" s="115" t="s">
        <v>81</v>
      </c>
      <c r="C66" s="115">
        <f>ROUND((C64+C63)/24,0)</f>
        <v>3</v>
      </c>
      <c r="D66" s="115">
        <f t="shared" ref="D66:L66" si="84">ROUND((D64+D63)/24,0)</f>
        <v>4</v>
      </c>
      <c r="E66" s="115">
        <f t="shared" si="84"/>
        <v>4</v>
      </c>
      <c r="F66" s="115">
        <f t="shared" si="84"/>
        <v>4</v>
      </c>
      <c r="G66" s="115">
        <f t="shared" si="84"/>
        <v>5</v>
      </c>
      <c r="H66" s="115">
        <f t="shared" si="84"/>
        <v>5</v>
      </c>
      <c r="I66" s="115">
        <f t="shared" si="84"/>
        <v>5</v>
      </c>
      <c r="J66" s="115">
        <f t="shared" si="84"/>
        <v>6</v>
      </c>
      <c r="K66" s="115">
        <f t="shared" si="84"/>
        <v>6</v>
      </c>
      <c r="L66" s="115">
        <f t="shared" si="84"/>
        <v>6</v>
      </c>
    </row>
    <row r="67" spans="1:12" x14ac:dyDescent="0.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</row>
    <row r="68" spans="1:12" s="139" customFormat="1" ht="15" x14ac:dyDescent="0.25">
      <c r="A68" s="138" t="s">
        <v>82</v>
      </c>
      <c r="B68" s="141" t="str">
        <f>+'Output Schedule'!A35</f>
        <v>Husk</v>
      </c>
      <c r="C68" s="141"/>
      <c r="D68" s="141"/>
      <c r="E68" s="141"/>
      <c r="F68" s="141"/>
      <c r="G68" s="141"/>
      <c r="H68" s="141"/>
      <c r="I68" s="141"/>
      <c r="J68" s="141"/>
      <c r="K68" s="141"/>
      <c r="L68" s="141"/>
    </row>
    <row r="69" spans="1:12" x14ac:dyDescent="0.2">
      <c r="A69" s="116"/>
      <c r="B69" s="115" t="s">
        <v>78</v>
      </c>
      <c r="C69" s="115">
        <f>0</f>
        <v>0</v>
      </c>
      <c r="D69" s="115">
        <f>C72</f>
        <v>1</v>
      </c>
      <c r="E69" s="115">
        <f>D72</f>
        <v>1</v>
      </c>
      <c r="F69" s="115">
        <f>E72</f>
        <v>2</v>
      </c>
      <c r="G69" s="115">
        <f>F72</f>
        <v>2</v>
      </c>
      <c r="H69" s="115">
        <f t="shared" ref="H69" si="85">G72</f>
        <v>2</v>
      </c>
      <c r="I69" s="115">
        <f t="shared" ref="I69" si="86">H72</f>
        <v>2</v>
      </c>
      <c r="J69" s="115">
        <f t="shared" ref="J69" si="87">I72</f>
        <v>2</v>
      </c>
      <c r="K69" s="115">
        <f t="shared" ref="K69" si="88">J72</f>
        <v>2</v>
      </c>
      <c r="L69" s="115">
        <f t="shared" ref="L69" si="89">K72</f>
        <v>2</v>
      </c>
    </row>
    <row r="70" spans="1:12" x14ac:dyDescent="0.2">
      <c r="A70" s="116"/>
      <c r="B70" s="115" t="s">
        <v>79</v>
      </c>
      <c r="C70" s="214">
        <f>'Output Schedule'!B35</f>
        <v>30</v>
      </c>
      <c r="D70" s="214">
        <f>'Output Schedule'!C35</f>
        <v>33</v>
      </c>
      <c r="E70" s="214">
        <f>'Output Schedule'!D35</f>
        <v>36</v>
      </c>
      <c r="F70" s="214">
        <f>'Output Schedule'!E35</f>
        <v>39</v>
      </c>
      <c r="G70" s="214">
        <f>'Output Schedule'!F35</f>
        <v>42</v>
      </c>
      <c r="H70" s="214">
        <f>'Output Schedule'!G35</f>
        <v>45</v>
      </c>
      <c r="I70" s="214">
        <f>'Output Schedule'!H35</f>
        <v>48</v>
      </c>
      <c r="J70" s="214">
        <f>'Output Schedule'!I35</f>
        <v>51</v>
      </c>
      <c r="K70" s="214">
        <f>'Output Schedule'!J35</f>
        <v>54</v>
      </c>
      <c r="L70" s="214">
        <f>'Output Schedule'!K35</f>
        <v>57</v>
      </c>
    </row>
    <row r="71" spans="1:12" x14ac:dyDescent="0.2">
      <c r="A71" s="116"/>
      <c r="B71" s="115" t="s">
        <v>80</v>
      </c>
      <c r="C71" s="115">
        <f>C69+C70-C72</f>
        <v>29</v>
      </c>
      <c r="D71" s="115">
        <f>D69+D70-D72</f>
        <v>33</v>
      </c>
      <c r="E71" s="115">
        <f>E69+E70-E72</f>
        <v>35</v>
      </c>
      <c r="F71" s="115">
        <f>F69+F70-F72</f>
        <v>39</v>
      </c>
      <c r="G71" s="115">
        <f>G69+G70-G72</f>
        <v>42</v>
      </c>
      <c r="H71" s="115">
        <f t="shared" ref="H71:L71" si="90">H69+H70-H72</f>
        <v>45</v>
      </c>
      <c r="I71" s="115">
        <f t="shared" si="90"/>
        <v>48</v>
      </c>
      <c r="J71" s="115">
        <f t="shared" si="90"/>
        <v>51</v>
      </c>
      <c r="K71" s="115">
        <f t="shared" si="90"/>
        <v>54</v>
      </c>
      <c r="L71" s="115">
        <f t="shared" si="90"/>
        <v>57</v>
      </c>
    </row>
    <row r="72" spans="1:12" x14ac:dyDescent="0.2">
      <c r="A72" s="116"/>
      <c r="B72" s="115" t="s">
        <v>81</v>
      </c>
      <c r="C72" s="115">
        <f>ROUND((C70+C69)/24,0)</f>
        <v>1</v>
      </c>
      <c r="D72" s="115">
        <f t="shared" ref="D72:L72" si="91">ROUND((D70+D69)/24,0)</f>
        <v>1</v>
      </c>
      <c r="E72" s="115">
        <f t="shared" si="91"/>
        <v>2</v>
      </c>
      <c r="F72" s="115">
        <f t="shared" si="91"/>
        <v>2</v>
      </c>
      <c r="G72" s="115">
        <f t="shared" si="91"/>
        <v>2</v>
      </c>
      <c r="H72" s="115">
        <f t="shared" si="91"/>
        <v>2</v>
      </c>
      <c r="I72" s="115">
        <f t="shared" si="91"/>
        <v>2</v>
      </c>
      <c r="J72" s="115">
        <f t="shared" si="91"/>
        <v>2</v>
      </c>
      <c r="K72" s="115">
        <f t="shared" si="91"/>
        <v>2</v>
      </c>
      <c r="L72" s="115">
        <f t="shared" si="91"/>
        <v>2</v>
      </c>
    </row>
    <row r="73" spans="1:12" x14ac:dyDescent="0.2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</row>
    <row r="74" spans="1:12" ht="15" x14ac:dyDescent="0.25">
      <c r="A74" s="138" t="s">
        <v>83</v>
      </c>
      <c r="B74" s="206" t="str">
        <f>'Output Schedule'!A36</f>
        <v>Broken</v>
      </c>
      <c r="C74" s="141"/>
      <c r="D74" s="141"/>
      <c r="E74" s="141"/>
      <c r="F74" s="141"/>
      <c r="G74" s="141"/>
      <c r="H74" s="141"/>
      <c r="I74" s="141"/>
      <c r="J74" s="116"/>
      <c r="K74" s="116"/>
      <c r="L74" s="116"/>
    </row>
    <row r="75" spans="1:12" x14ac:dyDescent="0.2">
      <c r="A75" s="116"/>
      <c r="B75" s="115" t="s">
        <v>78</v>
      </c>
      <c r="C75" s="115">
        <f>0</f>
        <v>0</v>
      </c>
      <c r="D75" s="115">
        <f>C78</f>
        <v>1</v>
      </c>
      <c r="E75" s="115">
        <f>D78</f>
        <v>1</v>
      </c>
      <c r="F75" s="115">
        <f>E78</f>
        <v>1</v>
      </c>
      <c r="G75" s="115">
        <f>F78</f>
        <v>1</v>
      </c>
      <c r="H75" s="115">
        <f t="shared" ref="H75" si="92">G78</f>
        <v>1</v>
      </c>
      <c r="I75" s="115">
        <f t="shared" ref="I75" si="93">H78</f>
        <v>1</v>
      </c>
      <c r="J75" s="115">
        <f t="shared" ref="J75" si="94">I78</f>
        <v>1</v>
      </c>
      <c r="K75" s="115">
        <f t="shared" ref="K75" si="95">J78</f>
        <v>1</v>
      </c>
      <c r="L75" s="115">
        <f t="shared" ref="L75" si="96">K78</f>
        <v>1</v>
      </c>
    </row>
    <row r="76" spans="1:12" x14ac:dyDescent="0.2">
      <c r="A76" s="116"/>
      <c r="B76" s="115" t="s">
        <v>79</v>
      </c>
      <c r="C76" s="214">
        <f>'Output Schedule'!B36</f>
        <v>18</v>
      </c>
      <c r="D76" s="214">
        <f>'Output Schedule'!C36</f>
        <v>20</v>
      </c>
      <c r="E76" s="214">
        <f>'Output Schedule'!D36</f>
        <v>22</v>
      </c>
      <c r="F76" s="214">
        <f>'Output Schedule'!E36</f>
        <v>23</v>
      </c>
      <c r="G76" s="214">
        <f>'Output Schedule'!F36</f>
        <v>25</v>
      </c>
      <c r="H76" s="214">
        <f>'Output Schedule'!G36</f>
        <v>27</v>
      </c>
      <c r="I76" s="214">
        <f>'Output Schedule'!H36</f>
        <v>29</v>
      </c>
      <c r="J76" s="214">
        <f>'Output Schedule'!I36</f>
        <v>31</v>
      </c>
      <c r="K76" s="214">
        <f>'Output Schedule'!J36</f>
        <v>32</v>
      </c>
      <c r="L76" s="214">
        <f>'Output Schedule'!K36</f>
        <v>34</v>
      </c>
    </row>
    <row r="77" spans="1:12" x14ac:dyDescent="0.2">
      <c r="A77" s="116"/>
      <c r="B77" s="115" t="s">
        <v>80</v>
      </c>
      <c r="C77" s="115">
        <f>C75+C76-C78</f>
        <v>17</v>
      </c>
      <c r="D77" s="115">
        <f>D75+D76-D78</f>
        <v>20</v>
      </c>
      <c r="E77" s="115">
        <f>E75+E76-E78</f>
        <v>22</v>
      </c>
      <c r="F77" s="115">
        <f>F75+F76-F78</f>
        <v>23</v>
      </c>
      <c r="G77" s="115">
        <f>G75+G76-G78</f>
        <v>25</v>
      </c>
      <c r="H77" s="115">
        <f t="shared" ref="H77:L77" si="97">H75+H76-H78</f>
        <v>27</v>
      </c>
      <c r="I77" s="115">
        <f t="shared" si="97"/>
        <v>29</v>
      </c>
      <c r="J77" s="115">
        <f t="shared" si="97"/>
        <v>31</v>
      </c>
      <c r="K77" s="115">
        <f t="shared" si="97"/>
        <v>32</v>
      </c>
      <c r="L77" s="115">
        <f t="shared" si="97"/>
        <v>34</v>
      </c>
    </row>
    <row r="78" spans="1:12" x14ac:dyDescent="0.2">
      <c r="A78" s="116"/>
      <c r="B78" s="115" t="s">
        <v>81</v>
      </c>
      <c r="C78" s="115">
        <f>ROUND((C76+C75)/24,0)</f>
        <v>1</v>
      </c>
      <c r="D78" s="115">
        <f t="shared" ref="D78:L78" si="98">ROUND((D76+D75)/24,0)</f>
        <v>1</v>
      </c>
      <c r="E78" s="115">
        <f t="shared" si="98"/>
        <v>1</v>
      </c>
      <c r="F78" s="115">
        <f t="shared" si="98"/>
        <v>1</v>
      </c>
      <c r="G78" s="115">
        <f t="shared" si="98"/>
        <v>1</v>
      </c>
      <c r="H78" s="115">
        <f t="shared" si="98"/>
        <v>1</v>
      </c>
      <c r="I78" s="115">
        <f t="shared" si="98"/>
        <v>1</v>
      </c>
      <c r="J78" s="115">
        <f t="shared" si="98"/>
        <v>1</v>
      </c>
      <c r="K78" s="115">
        <f t="shared" si="98"/>
        <v>1</v>
      </c>
      <c r="L78" s="115">
        <f t="shared" si="98"/>
        <v>1</v>
      </c>
    </row>
    <row r="79" spans="1:12" x14ac:dyDescent="0.2">
      <c r="A79" s="116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</row>
    <row r="80" spans="1:12" ht="15" x14ac:dyDescent="0.25">
      <c r="A80" s="138" t="s">
        <v>401</v>
      </c>
      <c r="B80" s="206" t="str">
        <f>'Output Schedule'!A37</f>
        <v>Bran</v>
      </c>
      <c r="C80" s="141"/>
      <c r="D80" s="141"/>
      <c r="E80" s="141"/>
      <c r="F80" s="141"/>
      <c r="G80" s="141"/>
      <c r="H80" s="141"/>
      <c r="I80" s="141"/>
      <c r="J80" s="116"/>
      <c r="K80" s="116"/>
      <c r="L80" s="116"/>
    </row>
    <row r="81" spans="1:12" x14ac:dyDescent="0.2">
      <c r="A81" s="116"/>
      <c r="B81" s="115" t="s">
        <v>78</v>
      </c>
      <c r="C81" s="115">
        <f>0</f>
        <v>0</v>
      </c>
      <c r="D81" s="115">
        <f>C84</f>
        <v>1</v>
      </c>
      <c r="E81" s="115">
        <f>D84</f>
        <v>1</v>
      </c>
      <c r="F81" s="115">
        <f>E84</f>
        <v>1</v>
      </c>
      <c r="G81" s="115">
        <f>F84</f>
        <v>1</v>
      </c>
      <c r="H81" s="115">
        <f t="shared" ref="H81" si="99">G84</f>
        <v>1</v>
      </c>
      <c r="I81" s="115">
        <f t="shared" ref="I81" si="100">H84</f>
        <v>1</v>
      </c>
      <c r="J81" s="115">
        <f t="shared" ref="J81" si="101">I84</f>
        <v>1</v>
      </c>
      <c r="K81" s="115">
        <f t="shared" ref="K81" si="102">J84</f>
        <v>1</v>
      </c>
      <c r="L81" s="115">
        <f t="shared" ref="L81" si="103">K84</f>
        <v>1</v>
      </c>
    </row>
    <row r="82" spans="1:12" x14ac:dyDescent="0.2">
      <c r="A82" s="116"/>
      <c r="B82" s="115" t="s">
        <v>79</v>
      </c>
      <c r="C82" s="214">
        <f>'Output Schedule'!B37</f>
        <v>12</v>
      </c>
      <c r="D82" s="214">
        <f>'Output Schedule'!C37</f>
        <v>13</v>
      </c>
      <c r="E82" s="214">
        <f>'Output Schedule'!D37</f>
        <v>14</v>
      </c>
      <c r="F82" s="214">
        <f>'Output Schedule'!E37</f>
        <v>16</v>
      </c>
      <c r="G82" s="214">
        <f>'Output Schedule'!F37</f>
        <v>17</v>
      </c>
      <c r="H82" s="214">
        <f>'Output Schedule'!G37</f>
        <v>18</v>
      </c>
      <c r="I82" s="214">
        <f>'Output Schedule'!H37</f>
        <v>19</v>
      </c>
      <c r="J82" s="214">
        <f>'Output Schedule'!I37</f>
        <v>20</v>
      </c>
      <c r="K82" s="214">
        <f>'Output Schedule'!J37</f>
        <v>22</v>
      </c>
      <c r="L82" s="214">
        <f>'Output Schedule'!K37</f>
        <v>23</v>
      </c>
    </row>
    <row r="83" spans="1:12" x14ac:dyDescent="0.2">
      <c r="A83" s="116"/>
      <c r="B83" s="115" t="s">
        <v>80</v>
      </c>
      <c r="C83" s="115">
        <f>C81+C82-C84</f>
        <v>11</v>
      </c>
      <c r="D83" s="115">
        <f>D81+D82-D84</f>
        <v>13</v>
      </c>
      <c r="E83" s="115">
        <f>E81+E82-E84</f>
        <v>14</v>
      </c>
      <c r="F83" s="115">
        <f>F81+F82-F84</f>
        <v>16</v>
      </c>
      <c r="G83" s="115">
        <f>G81+G82-G84</f>
        <v>17</v>
      </c>
      <c r="H83" s="115">
        <f t="shared" ref="H83:L83" si="104">H81+H82-H84</f>
        <v>18</v>
      </c>
      <c r="I83" s="115">
        <f t="shared" si="104"/>
        <v>19</v>
      </c>
      <c r="J83" s="115">
        <f t="shared" si="104"/>
        <v>20</v>
      </c>
      <c r="K83" s="115">
        <f t="shared" si="104"/>
        <v>22</v>
      </c>
      <c r="L83" s="115">
        <f t="shared" si="104"/>
        <v>23</v>
      </c>
    </row>
    <row r="84" spans="1:12" x14ac:dyDescent="0.2">
      <c r="A84" s="116"/>
      <c r="B84" s="115" t="s">
        <v>81</v>
      </c>
      <c r="C84" s="115">
        <f>ROUND(C82/24,0)</f>
        <v>1</v>
      </c>
      <c r="D84" s="115">
        <f t="shared" ref="D84:L84" si="105">ROUND(D82/24,0)</f>
        <v>1</v>
      </c>
      <c r="E84" s="115">
        <f t="shared" si="105"/>
        <v>1</v>
      </c>
      <c r="F84" s="115">
        <f t="shared" si="105"/>
        <v>1</v>
      </c>
      <c r="G84" s="115">
        <f t="shared" si="105"/>
        <v>1</v>
      </c>
      <c r="H84" s="115">
        <f t="shared" si="105"/>
        <v>1</v>
      </c>
      <c r="I84" s="115">
        <f t="shared" si="105"/>
        <v>1</v>
      </c>
      <c r="J84" s="115">
        <f t="shared" si="105"/>
        <v>1</v>
      </c>
      <c r="K84" s="115">
        <f t="shared" si="105"/>
        <v>1</v>
      </c>
      <c r="L84" s="115">
        <f t="shared" si="105"/>
        <v>1</v>
      </c>
    </row>
    <row r="85" spans="1:12" x14ac:dyDescent="0.2">
      <c r="A85" s="116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</row>
    <row r="86" spans="1:12" ht="15" x14ac:dyDescent="0.25">
      <c r="A86" s="138" t="s">
        <v>402</v>
      </c>
      <c r="B86" s="206" t="str">
        <f>+'Output Schedule'!A38</f>
        <v>Jari</v>
      </c>
      <c r="C86" s="141"/>
      <c r="D86" s="141"/>
      <c r="E86" s="141"/>
      <c r="F86" s="141"/>
      <c r="G86" s="141"/>
      <c r="H86" s="141"/>
      <c r="I86" s="141"/>
      <c r="J86" s="116"/>
      <c r="K86" s="116"/>
      <c r="L86" s="116"/>
    </row>
    <row r="87" spans="1:12" x14ac:dyDescent="0.2">
      <c r="A87" s="116"/>
      <c r="B87" s="115" t="s">
        <v>78</v>
      </c>
      <c r="C87" s="115">
        <f>0</f>
        <v>0</v>
      </c>
      <c r="D87" s="115">
        <f>C90</f>
        <v>0</v>
      </c>
      <c r="E87" s="115">
        <f>D90</f>
        <v>0</v>
      </c>
      <c r="F87" s="115">
        <f>E90</f>
        <v>0</v>
      </c>
      <c r="G87" s="115">
        <f>F90</f>
        <v>0</v>
      </c>
      <c r="H87" s="115">
        <f t="shared" ref="H87" si="106">G90</f>
        <v>0</v>
      </c>
      <c r="I87" s="115">
        <f t="shared" ref="I87" si="107">H90</f>
        <v>0</v>
      </c>
      <c r="J87" s="115">
        <f t="shared" ref="J87" si="108">I90</f>
        <v>1</v>
      </c>
      <c r="K87" s="115">
        <f t="shared" ref="K87" si="109">J90</f>
        <v>1</v>
      </c>
      <c r="L87" s="115">
        <f t="shared" ref="L87" si="110">K90</f>
        <v>1</v>
      </c>
    </row>
    <row r="88" spans="1:12" x14ac:dyDescent="0.2">
      <c r="A88" s="116"/>
      <c r="B88" s="115" t="s">
        <v>79</v>
      </c>
      <c r="C88" s="214">
        <f>+'Output Schedule'!B38</f>
        <v>8</v>
      </c>
      <c r="D88" s="214">
        <f>+'Output Schedule'!C38</f>
        <v>8</v>
      </c>
      <c r="E88" s="214">
        <f>+'Output Schedule'!D38</f>
        <v>9</v>
      </c>
      <c r="F88" s="214">
        <f>+'Output Schedule'!E38</f>
        <v>10</v>
      </c>
      <c r="G88" s="214">
        <f>+'Output Schedule'!F38</f>
        <v>11</v>
      </c>
      <c r="H88" s="214">
        <f>+'Output Schedule'!G38</f>
        <v>11</v>
      </c>
      <c r="I88" s="214">
        <f>+'Output Schedule'!H38</f>
        <v>12</v>
      </c>
      <c r="J88" s="214">
        <f>+'Output Schedule'!I38</f>
        <v>13</v>
      </c>
      <c r="K88" s="214">
        <f>+'Output Schedule'!J38</f>
        <v>14</v>
      </c>
      <c r="L88" s="214">
        <f>+'Output Schedule'!K38</f>
        <v>14</v>
      </c>
    </row>
    <row r="89" spans="1:12" x14ac:dyDescent="0.2">
      <c r="A89" s="116"/>
      <c r="B89" s="115" t="s">
        <v>80</v>
      </c>
      <c r="C89" s="115">
        <f>C87+C88-C90</f>
        <v>8</v>
      </c>
      <c r="D89" s="115">
        <f>D87+D88-D90</f>
        <v>8</v>
      </c>
      <c r="E89" s="115">
        <f>E87+E88-E90</f>
        <v>9</v>
      </c>
      <c r="F89" s="115">
        <f>F87+F88-F90</f>
        <v>10</v>
      </c>
      <c r="G89" s="115">
        <f>G87+G88-G90</f>
        <v>11</v>
      </c>
      <c r="H89" s="115">
        <f t="shared" ref="H89:L89" si="111">H87+H88-H90</f>
        <v>11</v>
      </c>
      <c r="I89" s="115">
        <f t="shared" si="111"/>
        <v>11</v>
      </c>
      <c r="J89" s="115">
        <f t="shared" si="111"/>
        <v>13</v>
      </c>
      <c r="K89" s="115">
        <f t="shared" si="111"/>
        <v>14</v>
      </c>
      <c r="L89" s="115">
        <f t="shared" si="111"/>
        <v>14</v>
      </c>
    </row>
    <row r="90" spans="1:12" x14ac:dyDescent="0.2">
      <c r="A90" s="116"/>
      <c r="B90" s="115" t="s">
        <v>81</v>
      </c>
      <c r="C90" s="115">
        <f>ROUND(C88/24,0)</f>
        <v>0</v>
      </c>
      <c r="D90" s="115">
        <f t="shared" ref="D90:L90" si="112">ROUND(D88/24,0)</f>
        <v>0</v>
      </c>
      <c r="E90" s="115">
        <f t="shared" si="112"/>
        <v>0</v>
      </c>
      <c r="F90" s="115">
        <f t="shared" si="112"/>
        <v>0</v>
      </c>
      <c r="G90" s="115">
        <f t="shared" si="112"/>
        <v>0</v>
      </c>
      <c r="H90" s="115">
        <f t="shared" si="112"/>
        <v>0</v>
      </c>
      <c r="I90" s="115">
        <f t="shared" si="112"/>
        <v>1</v>
      </c>
      <c r="J90" s="115">
        <f t="shared" si="112"/>
        <v>1</v>
      </c>
      <c r="K90" s="115">
        <f t="shared" si="112"/>
        <v>1</v>
      </c>
      <c r="L90" s="115">
        <f t="shared" si="112"/>
        <v>1</v>
      </c>
    </row>
    <row r="91" spans="1:12" x14ac:dyDescent="0.2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</row>
    <row r="92" spans="1:12" ht="15" x14ac:dyDescent="0.25">
      <c r="A92" s="116"/>
      <c r="B92" s="206" t="s">
        <v>84</v>
      </c>
      <c r="C92" s="115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2" x14ac:dyDescent="0.2">
      <c r="A93" s="140" t="s">
        <v>77</v>
      </c>
      <c r="B93" s="228" t="str">
        <f>+B62</f>
        <v>Rice</v>
      </c>
      <c r="C93" s="202">
        <v>45000</v>
      </c>
      <c r="D93" s="195">
        <f>ROUND(C93*1.05,-1)</f>
        <v>47250</v>
      </c>
      <c r="E93" s="195">
        <f t="shared" ref="E93:E96" si="113">ROUND(D93*1.05,-1)</f>
        <v>49610</v>
      </c>
      <c r="F93" s="195">
        <f t="shared" ref="F93:F96" si="114">ROUND(E93*1.05,-1)</f>
        <v>52090</v>
      </c>
      <c r="G93" s="195">
        <f t="shared" ref="G93:G96" si="115">ROUND(F93*1.05,-1)</f>
        <v>54690</v>
      </c>
      <c r="H93" s="195">
        <f t="shared" ref="H93:H96" si="116">ROUND(G93*1.05,-1)</f>
        <v>57420</v>
      </c>
      <c r="I93" s="195">
        <f t="shared" ref="I93:I96" si="117">ROUND(H93*1.05,-1)</f>
        <v>60290</v>
      </c>
      <c r="J93" s="195">
        <f t="shared" ref="J93:J96" si="118">ROUND(I93*1.05,-1)</f>
        <v>63300</v>
      </c>
      <c r="K93" s="195">
        <f t="shared" ref="K93:K96" si="119">ROUND(J93*1.05,-1)</f>
        <v>66470</v>
      </c>
      <c r="L93" s="195">
        <f t="shared" ref="L93:L96" si="120">ROUND(K93*1.05,-1)</f>
        <v>69790</v>
      </c>
    </row>
    <row r="94" spans="1:12" x14ac:dyDescent="0.2">
      <c r="A94" s="140" t="s">
        <v>82</v>
      </c>
      <c r="B94" s="228" t="str">
        <f>B68</f>
        <v>Husk</v>
      </c>
      <c r="C94" s="202">
        <v>2000</v>
      </c>
      <c r="D94" s="195">
        <f>ROUND(C94*1.05,-1)</f>
        <v>2100</v>
      </c>
      <c r="E94" s="195">
        <f t="shared" si="113"/>
        <v>2210</v>
      </c>
      <c r="F94" s="195">
        <f t="shared" si="114"/>
        <v>2320</v>
      </c>
      <c r="G94" s="195">
        <f t="shared" si="115"/>
        <v>2440</v>
      </c>
      <c r="H94" s="195">
        <f t="shared" si="116"/>
        <v>2560</v>
      </c>
      <c r="I94" s="195">
        <f t="shared" si="117"/>
        <v>2690</v>
      </c>
      <c r="J94" s="195">
        <f t="shared" si="118"/>
        <v>2820</v>
      </c>
      <c r="K94" s="195">
        <f t="shared" si="119"/>
        <v>2960</v>
      </c>
      <c r="L94" s="195">
        <f t="shared" si="120"/>
        <v>3110</v>
      </c>
    </row>
    <row r="95" spans="1:12" x14ac:dyDescent="0.2">
      <c r="A95" s="140" t="s">
        <v>83</v>
      </c>
      <c r="B95" s="228" t="str">
        <f>B74</f>
        <v>Broken</v>
      </c>
      <c r="C95" s="202">
        <v>22000</v>
      </c>
      <c r="D95" s="195">
        <f>ROUND(C95*1.05,-1)</f>
        <v>23100</v>
      </c>
      <c r="E95" s="195">
        <f t="shared" si="113"/>
        <v>24260</v>
      </c>
      <c r="F95" s="195">
        <f t="shared" si="114"/>
        <v>25470</v>
      </c>
      <c r="G95" s="195">
        <f t="shared" si="115"/>
        <v>26740</v>
      </c>
      <c r="H95" s="195">
        <f t="shared" si="116"/>
        <v>28080</v>
      </c>
      <c r="I95" s="195">
        <f t="shared" si="117"/>
        <v>29480</v>
      </c>
      <c r="J95" s="195">
        <f t="shared" si="118"/>
        <v>30950</v>
      </c>
      <c r="K95" s="195">
        <f t="shared" si="119"/>
        <v>32500</v>
      </c>
      <c r="L95" s="195">
        <f t="shared" si="120"/>
        <v>34130</v>
      </c>
    </row>
    <row r="96" spans="1:12" x14ac:dyDescent="0.2">
      <c r="A96" s="140" t="s">
        <v>401</v>
      </c>
      <c r="B96" s="228" t="str">
        <f>B80</f>
        <v>Bran</v>
      </c>
      <c r="C96" s="202">
        <v>12000</v>
      </c>
      <c r="D96" s="195">
        <f>ROUND(C96*1.05,-1)</f>
        <v>12600</v>
      </c>
      <c r="E96" s="195">
        <f t="shared" si="113"/>
        <v>13230</v>
      </c>
      <c r="F96" s="195">
        <f t="shared" si="114"/>
        <v>13890</v>
      </c>
      <c r="G96" s="195">
        <f t="shared" si="115"/>
        <v>14580</v>
      </c>
      <c r="H96" s="195">
        <f t="shared" si="116"/>
        <v>15310</v>
      </c>
      <c r="I96" s="195">
        <f t="shared" si="117"/>
        <v>16080</v>
      </c>
      <c r="J96" s="195">
        <f t="shared" si="118"/>
        <v>16880</v>
      </c>
      <c r="K96" s="195">
        <f t="shared" si="119"/>
        <v>17720</v>
      </c>
      <c r="L96" s="195">
        <f t="shared" si="120"/>
        <v>18610</v>
      </c>
    </row>
    <row r="97" spans="1:12" x14ac:dyDescent="0.2">
      <c r="A97" s="140" t="s">
        <v>402</v>
      </c>
      <c r="B97" s="228" t="str">
        <f>B86</f>
        <v>Jari</v>
      </c>
      <c r="C97" s="202">
        <v>12000</v>
      </c>
      <c r="D97" s="195">
        <f>ROUND(C97*1.05,-1)</f>
        <v>12600</v>
      </c>
      <c r="E97" s="195">
        <f t="shared" ref="E97" si="121">ROUND(D97*1.05,-1)</f>
        <v>13230</v>
      </c>
      <c r="F97" s="195">
        <f t="shared" ref="F97" si="122">ROUND(E97*1.05,-1)</f>
        <v>13890</v>
      </c>
      <c r="G97" s="195">
        <f t="shared" ref="G97" si="123">ROUND(F97*1.05,-1)</f>
        <v>14580</v>
      </c>
      <c r="H97" s="195">
        <f t="shared" ref="H97" si="124">ROUND(G97*1.05,-1)</f>
        <v>15310</v>
      </c>
      <c r="I97" s="195">
        <f t="shared" ref="I97" si="125">ROUND(H97*1.05,-1)</f>
        <v>16080</v>
      </c>
      <c r="J97" s="195">
        <f t="shared" ref="J97" si="126">ROUND(I97*1.05,-1)</f>
        <v>16880</v>
      </c>
      <c r="K97" s="195">
        <f t="shared" ref="K97" si="127">ROUND(J97*1.05,-1)</f>
        <v>17720</v>
      </c>
      <c r="L97" s="195">
        <f t="shared" ref="L97" si="128">ROUND(K97*1.05,-1)</f>
        <v>18610</v>
      </c>
    </row>
    <row r="98" spans="1:12" x14ac:dyDescent="0.2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</row>
    <row r="99" spans="1:12" ht="15" x14ac:dyDescent="0.25">
      <c r="A99" s="141" t="s">
        <v>77</v>
      </c>
      <c r="B99" s="141" t="str">
        <f>B93</f>
        <v>Rice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</row>
    <row r="100" spans="1:12" x14ac:dyDescent="0.2">
      <c r="A100" s="116"/>
      <c r="B100" s="115" t="s">
        <v>70</v>
      </c>
      <c r="C100" s="202">
        <v>0</v>
      </c>
      <c r="D100" s="202">
        <f>C101</f>
        <v>1.35</v>
      </c>
      <c r="E100" s="202">
        <f>D101</f>
        <v>1.89</v>
      </c>
      <c r="F100" s="202">
        <f t="shared" ref="F100" si="129">E101</f>
        <v>1.9843999999999999</v>
      </c>
      <c r="G100" s="202">
        <f t="shared" ref="G100" si="130">F101</f>
        <v>2.0836000000000001</v>
      </c>
      <c r="H100" s="202">
        <f t="shared" ref="H100" si="131">G101</f>
        <v>2.7345000000000002</v>
      </c>
      <c r="I100" s="202">
        <f t="shared" ref="I100" si="132">H101</f>
        <v>2.871</v>
      </c>
      <c r="J100" s="202">
        <f t="shared" ref="J100" si="133">I101</f>
        <v>3.0145</v>
      </c>
      <c r="K100" s="202">
        <f t="shared" ref="K100" si="134">J101</f>
        <v>3.798</v>
      </c>
      <c r="L100" s="202">
        <f t="shared" ref="L100" si="135">K101</f>
        <v>3.9882</v>
      </c>
    </row>
    <row r="101" spans="1:12" x14ac:dyDescent="0.2">
      <c r="A101" s="116"/>
      <c r="B101" s="115" t="s">
        <v>71</v>
      </c>
      <c r="C101" s="202">
        <f>C66*C93/100000</f>
        <v>1.35</v>
      </c>
      <c r="D101" s="202">
        <f t="shared" ref="D101:L101" si="136">D66*D93/100000</f>
        <v>1.89</v>
      </c>
      <c r="E101" s="202">
        <f t="shared" si="136"/>
        <v>1.9843999999999999</v>
      </c>
      <c r="F101" s="202">
        <f t="shared" si="136"/>
        <v>2.0836000000000001</v>
      </c>
      <c r="G101" s="202">
        <f t="shared" si="136"/>
        <v>2.7345000000000002</v>
      </c>
      <c r="H101" s="202">
        <f t="shared" si="136"/>
        <v>2.871</v>
      </c>
      <c r="I101" s="202">
        <f t="shared" si="136"/>
        <v>3.0145</v>
      </c>
      <c r="J101" s="202">
        <f t="shared" si="136"/>
        <v>3.798</v>
      </c>
      <c r="K101" s="202">
        <f t="shared" si="136"/>
        <v>3.9882</v>
      </c>
      <c r="L101" s="202">
        <f t="shared" si="136"/>
        <v>4.1874000000000002</v>
      </c>
    </row>
    <row r="102" spans="1:12" x14ac:dyDescent="0.2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</row>
    <row r="103" spans="1:12" ht="15" x14ac:dyDescent="0.25">
      <c r="A103" s="141" t="s">
        <v>82</v>
      </c>
      <c r="B103" s="141" t="str">
        <f>B68</f>
        <v>Husk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</row>
    <row r="104" spans="1:12" x14ac:dyDescent="0.2">
      <c r="A104" s="116"/>
      <c r="B104" s="115" t="s">
        <v>70</v>
      </c>
      <c r="C104" s="202">
        <v>0</v>
      </c>
      <c r="D104" s="202">
        <f>C105</f>
        <v>0.02</v>
      </c>
      <c r="E104" s="202">
        <f>D105</f>
        <v>2.1000000000000001E-2</v>
      </c>
      <c r="F104" s="202">
        <f t="shared" ref="F104" si="137">E105</f>
        <v>4.4200000000000003E-2</v>
      </c>
      <c r="G104" s="202">
        <f t="shared" ref="G104" si="138">F105</f>
        <v>4.6399999999999997E-2</v>
      </c>
      <c r="H104" s="202">
        <f t="shared" ref="H104" si="139">G105</f>
        <v>4.8800000000000003E-2</v>
      </c>
      <c r="I104" s="202">
        <f t="shared" ref="I104" si="140">H105</f>
        <v>5.1200000000000002E-2</v>
      </c>
      <c r="J104" s="202">
        <f t="shared" ref="J104" si="141">I105</f>
        <v>5.3800000000000001E-2</v>
      </c>
      <c r="K104" s="202">
        <f t="shared" ref="K104" si="142">J105</f>
        <v>5.6399999999999999E-2</v>
      </c>
      <c r="L104" s="202">
        <f t="shared" ref="L104" si="143">K105</f>
        <v>5.9200000000000003E-2</v>
      </c>
    </row>
    <row r="105" spans="1:12" x14ac:dyDescent="0.2">
      <c r="A105" s="116"/>
      <c r="B105" s="115" t="s">
        <v>71</v>
      </c>
      <c r="C105" s="202">
        <f>C94*C72/100000</f>
        <v>0.02</v>
      </c>
      <c r="D105" s="202">
        <f t="shared" ref="D105:L105" si="144">D94*D72/100000</f>
        <v>2.1000000000000001E-2</v>
      </c>
      <c r="E105" s="202">
        <f t="shared" si="144"/>
        <v>4.4200000000000003E-2</v>
      </c>
      <c r="F105" s="202">
        <f t="shared" si="144"/>
        <v>4.6399999999999997E-2</v>
      </c>
      <c r="G105" s="202">
        <f t="shared" si="144"/>
        <v>4.8800000000000003E-2</v>
      </c>
      <c r="H105" s="202">
        <f t="shared" si="144"/>
        <v>5.1200000000000002E-2</v>
      </c>
      <c r="I105" s="202">
        <f t="shared" si="144"/>
        <v>5.3800000000000001E-2</v>
      </c>
      <c r="J105" s="202">
        <f t="shared" si="144"/>
        <v>5.6399999999999999E-2</v>
      </c>
      <c r="K105" s="202">
        <f t="shared" si="144"/>
        <v>5.9200000000000003E-2</v>
      </c>
      <c r="L105" s="202">
        <f t="shared" si="144"/>
        <v>6.2199999999999998E-2</v>
      </c>
    </row>
    <row r="106" spans="1:12" x14ac:dyDescent="0.2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</row>
    <row r="107" spans="1:12" ht="15" x14ac:dyDescent="0.25">
      <c r="A107" s="141" t="s">
        <v>83</v>
      </c>
      <c r="B107" s="141" t="str">
        <f>B74</f>
        <v>Broken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</row>
    <row r="108" spans="1:12" x14ac:dyDescent="0.2">
      <c r="A108" s="116"/>
      <c r="B108" s="115" t="s">
        <v>70</v>
      </c>
      <c r="C108" s="202">
        <v>0</v>
      </c>
      <c r="D108" s="202">
        <f>C109</f>
        <v>0.22</v>
      </c>
      <c r="E108" s="202">
        <f>D109</f>
        <v>0.23100000000000001</v>
      </c>
      <c r="F108" s="202">
        <f t="shared" ref="F108" si="145">E109</f>
        <v>0.24260000000000001</v>
      </c>
      <c r="G108" s="202">
        <f t="shared" ref="G108" si="146">F109</f>
        <v>0.25469999999999998</v>
      </c>
      <c r="H108" s="202">
        <f t="shared" ref="H108" si="147">G109</f>
        <v>0.26740000000000003</v>
      </c>
      <c r="I108" s="202">
        <f t="shared" ref="I108" si="148">H109</f>
        <v>0.28079999999999999</v>
      </c>
      <c r="J108" s="202">
        <f t="shared" ref="J108" si="149">I109</f>
        <v>0.29480000000000001</v>
      </c>
      <c r="K108" s="202">
        <f t="shared" ref="K108" si="150">J109</f>
        <v>0.3095</v>
      </c>
      <c r="L108" s="202">
        <f t="shared" ref="L108" si="151">K109</f>
        <v>0.32500000000000001</v>
      </c>
    </row>
    <row r="109" spans="1:12" x14ac:dyDescent="0.2">
      <c r="A109" s="116"/>
      <c r="B109" s="115" t="s">
        <v>71</v>
      </c>
      <c r="C109" s="202">
        <f>C95*C78/100000</f>
        <v>0.22</v>
      </c>
      <c r="D109" s="202">
        <f t="shared" ref="D109:L109" si="152">D95*D78/100000</f>
        <v>0.23100000000000001</v>
      </c>
      <c r="E109" s="202">
        <f t="shared" si="152"/>
        <v>0.24260000000000001</v>
      </c>
      <c r="F109" s="202">
        <f t="shared" si="152"/>
        <v>0.25469999999999998</v>
      </c>
      <c r="G109" s="202">
        <f t="shared" si="152"/>
        <v>0.26740000000000003</v>
      </c>
      <c r="H109" s="202">
        <f t="shared" si="152"/>
        <v>0.28079999999999999</v>
      </c>
      <c r="I109" s="202">
        <f t="shared" si="152"/>
        <v>0.29480000000000001</v>
      </c>
      <c r="J109" s="202">
        <f t="shared" si="152"/>
        <v>0.3095</v>
      </c>
      <c r="K109" s="202">
        <f t="shared" si="152"/>
        <v>0.32500000000000001</v>
      </c>
      <c r="L109" s="202">
        <f t="shared" si="152"/>
        <v>0.34129999999999999</v>
      </c>
    </row>
    <row r="110" spans="1:12" x14ac:dyDescent="0.2">
      <c r="A110" s="116"/>
      <c r="B110" s="115"/>
      <c r="C110" s="202"/>
      <c r="D110" s="202"/>
      <c r="E110" s="202"/>
      <c r="F110" s="202"/>
      <c r="G110" s="202"/>
      <c r="H110" s="202"/>
      <c r="I110" s="202"/>
      <c r="J110" s="116"/>
      <c r="K110" s="116"/>
      <c r="L110" s="116"/>
    </row>
    <row r="111" spans="1:12" ht="15" x14ac:dyDescent="0.25">
      <c r="A111" s="116" t="s">
        <v>401</v>
      </c>
      <c r="B111" s="141" t="str">
        <f>B80</f>
        <v>Bran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</row>
    <row r="112" spans="1:12" x14ac:dyDescent="0.2">
      <c r="A112" s="116"/>
      <c r="B112" s="115" t="s">
        <v>70</v>
      </c>
      <c r="C112" s="202">
        <v>0</v>
      </c>
      <c r="D112" s="202">
        <f>C113</f>
        <v>0.12</v>
      </c>
      <c r="E112" s="202">
        <f>D113</f>
        <v>0.126</v>
      </c>
      <c r="F112" s="202">
        <f t="shared" ref="F112" si="153">E113</f>
        <v>0.1323</v>
      </c>
      <c r="G112" s="202">
        <f t="shared" ref="G112" si="154">F113</f>
        <v>0.1389</v>
      </c>
      <c r="H112" s="202">
        <f t="shared" ref="H112" si="155">G113</f>
        <v>0.14580000000000001</v>
      </c>
      <c r="I112" s="202">
        <f t="shared" ref="I112" si="156">H113</f>
        <v>0.15310000000000001</v>
      </c>
      <c r="J112" s="202">
        <f t="shared" ref="J112" si="157">I113</f>
        <v>0.1608</v>
      </c>
      <c r="K112" s="202">
        <f t="shared" ref="K112" si="158">J113</f>
        <v>0.16880000000000001</v>
      </c>
      <c r="L112" s="202">
        <f t="shared" ref="L112" si="159">K113</f>
        <v>0.1772</v>
      </c>
    </row>
    <row r="113" spans="1:12" x14ac:dyDescent="0.2">
      <c r="A113" s="116"/>
      <c r="B113" s="115" t="s">
        <v>71</v>
      </c>
      <c r="C113" s="202">
        <f>C96*C84/100000</f>
        <v>0.12</v>
      </c>
      <c r="D113" s="202">
        <f t="shared" ref="D113:L113" si="160">D96*D84/100000</f>
        <v>0.126</v>
      </c>
      <c r="E113" s="202">
        <f t="shared" si="160"/>
        <v>0.1323</v>
      </c>
      <c r="F113" s="202">
        <f t="shared" si="160"/>
        <v>0.1389</v>
      </c>
      <c r="G113" s="202">
        <f t="shared" si="160"/>
        <v>0.14580000000000001</v>
      </c>
      <c r="H113" s="202">
        <f t="shared" si="160"/>
        <v>0.15310000000000001</v>
      </c>
      <c r="I113" s="202">
        <f t="shared" si="160"/>
        <v>0.1608</v>
      </c>
      <c r="J113" s="202">
        <f t="shared" si="160"/>
        <v>0.16880000000000001</v>
      </c>
      <c r="K113" s="202">
        <f t="shared" si="160"/>
        <v>0.1772</v>
      </c>
      <c r="L113" s="202">
        <f t="shared" si="160"/>
        <v>0.18609999999999999</v>
      </c>
    </row>
    <row r="114" spans="1:12" x14ac:dyDescent="0.2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</row>
    <row r="115" spans="1:12" ht="15" x14ac:dyDescent="0.25">
      <c r="A115" s="116" t="s">
        <v>401</v>
      </c>
      <c r="B115" s="141" t="str">
        <f>B86</f>
        <v>Jari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</row>
    <row r="116" spans="1:12" x14ac:dyDescent="0.2">
      <c r="A116" s="116"/>
      <c r="B116" s="115" t="s">
        <v>70</v>
      </c>
      <c r="C116" s="202">
        <v>0</v>
      </c>
      <c r="D116" s="202">
        <f>C117</f>
        <v>0</v>
      </c>
      <c r="E116" s="202">
        <f>D117</f>
        <v>0</v>
      </c>
      <c r="F116" s="202">
        <f t="shared" ref="F116" si="161">E117</f>
        <v>0</v>
      </c>
      <c r="G116" s="202">
        <f t="shared" ref="G116" si="162">F117</f>
        <v>0</v>
      </c>
      <c r="H116" s="202">
        <f t="shared" ref="H116" si="163">G117</f>
        <v>0</v>
      </c>
      <c r="I116" s="202">
        <f t="shared" ref="I116" si="164">H117</f>
        <v>0</v>
      </c>
      <c r="J116" s="202">
        <f t="shared" ref="J116" si="165">I117</f>
        <v>0.1608</v>
      </c>
      <c r="K116" s="202">
        <f t="shared" ref="K116" si="166">J117</f>
        <v>0.16880000000000001</v>
      </c>
      <c r="L116" s="202">
        <f t="shared" ref="L116" si="167">K117</f>
        <v>0.1772</v>
      </c>
    </row>
    <row r="117" spans="1:12" x14ac:dyDescent="0.2">
      <c r="A117" s="116"/>
      <c r="B117" s="115" t="s">
        <v>71</v>
      </c>
      <c r="C117" s="202">
        <f>C97*C90/100000</f>
        <v>0</v>
      </c>
      <c r="D117" s="202">
        <f t="shared" ref="D117:L117" si="168">D97*D90/100000</f>
        <v>0</v>
      </c>
      <c r="E117" s="202">
        <f t="shared" si="168"/>
        <v>0</v>
      </c>
      <c r="F117" s="202">
        <f t="shared" si="168"/>
        <v>0</v>
      </c>
      <c r="G117" s="202">
        <f t="shared" si="168"/>
        <v>0</v>
      </c>
      <c r="H117" s="202">
        <f t="shared" si="168"/>
        <v>0</v>
      </c>
      <c r="I117" s="202">
        <f t="shared" si="168"/>
        <v>0.1608</v>
      </c>
      <c r="J117" s="202">
        <f t="shared" si="168"/>
        <v>0.16880000000000001</v>
      </c>
      <c r="K117" s="202">
        <f t="shared" si="168"/>
        <v>0.1772</v>
      </c>
      <c r="L117" s="202">
        <f t="shared" si="168"/>
        <v>0.18609999999999999</v>
      </c>
    </row>
    <row r="118" spans="1:12" x14ac:dyDescent="0.2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</row>
    <row r="119" spans="1:12" x14ac:dyDescent="0.2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</row>
    <row r="120" spans="1:12" x14ac:dyDescent="0.2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</row>
    <row r="121" spans="1:12" ht="15" x14ac:dyDescent="0.25">
      <c r="A121" s="116"/>
      <c r="B121" s="141" t="s">
        <v>85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</row>
    <row r="122" spans="1:12" ht="15" x14ac:dyDescent="0.25">
      <c r="A122" s="116"/>
      <c r="B122" s="206" t="s">
        <v>70</v>
      </c>
      <c r="C122" s="207">
        <f>C42+C46+C50+C54+C100+C104+C108+C112+C58+C116</f>
        <v>0</v>
      </c>
      <c r="D122" s="207">
        <f t="shared" ref="D122:L122" si="169">D42+D46+D50+D54+D100+D104+D108+D112+D58+D116</f>
        <v>4.08</v>
      </c>
      <c r="E122" s="207">
        <f t="shared" si="169"/>
        <v>5.2290000000000001</v>
      </c>
      <c r="F122" s="207">
        <f t="shared" si="169"/>
        <v>5.8327999999999998</v>
      </c>
      <c r="G122" s="207">
        <f t="shared" si="169"/>
        <v>6.1243999999999996</v>
      </c>
      <c r="H122" s="207">
        <f t="shared" si="169"/>
        <v>7.3053000000000008</v>
      </c>
      <c r="I122" s="207">
        <f t="shared" si="169"/>
        <v>8.1934000000000005</v>
      </c>
      <c r="J122" s="207">
        <f t="shared" si="169"/>
        <v>9.1256000000000004</v>
      </c>
      <c r="K122" s="207">
        <f t="shared" si="169"/>
        <v>10.467599999999997</v>
      </c>
      <c r="L122" s="207">
        <f t="shared" si="169"/>
        <v>11.390099999999997</v>
      </c>
    </row>
    <row r="123" spans="1:12" ht="15" x14ac:dyDescent="0.25">
      <c r="A123" s="116"/>
      <c r="B123" s="206" t="s">
        <v>71</v>
      </c>
      <c r="C123" s="207">
        <f>C43+C47+C51+C55+C101+C105+C109+C113+C59+C117</f>
        <v>4.08</v>
      </c>
      <c r="D123" s="207">
        <f t="shared" ref="D123:L123" si="170">D43+D47+D51+D55+D101+D105+D109+D113+D59+D117</f>
        <v>5.2290000000000001</v>
      </c>
      <c r="E123" s="207">
        <f t="shared" si="170"/>
        <v>5.8327999999999998</v>
      </c>
      <c r="F123" s="207">
        <f t="shared" si="170"/>
        <v>6.1243999999999996</v>
      </c>
      <c r="G123" s="207">
        <f t="shared" si="170"/>
        <v>7.3053000000000008</v>
      </c>
      <c r="H123" s="207">
        <f t="shared" si="170"/>
        <v>8.1934000000000005</v>
      </c>
      <c r="I123" s="207">
        <f t="shared" si="170"/>
        <v>9.1256000000000004</v>
      </c>
      <c r="J123" s="207">
        <f t="shared" si="170"/>
        <v>10.467599999999997</v>
      </c>
      <c r="K123" s="207">
        <f t="shared" si="170"/>
        <v>11.390099999999997</v>
      </c>
      <c r="L123" s="207">
        <f t="shared" si="170"/>
        <v>12.409100000000002</v>
      </c>
    </row>
    <row r="125" spans="1:12" x14ac:dyDescent="0.2">
      <c r="C125" s="215"/>
    </row>
  </sheetData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5</vt:i4>
      </vt:variant>
    </vt:vector>
  </HeadingPairs>
  <TitlesOfParts>
    <vt:vector size="44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CS-FG</vt:lpstr>
      <vt:lpstr>Sales Schedule</vt:lpstr>
      <vt:lpstr>Farm Implement Business</vt:lpstr>
      <vt:lpstr>Production Level Support</vt:lpstr>
      <vt:lpstr>Manpower Schedule</vt:lpstr>
      <vt:lpstr>weigh Bridge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ROCE and Payback</vt:lpstr>
      <vt:lpstr>NPV</vt:lpstr>
      <vt:lpstr>IRR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'Capital Cost'!Print_Area</vt:lpstr>
      <vt:lpstr>IRR!Print_Area</vt:lpstr>
      <vt:lpstr>'Opex Schedule'!Print_Area</vt:lpstr>
      <vt:lpstr>'Output Schedule'!Print_Area</vt:lpstr>
      <vt:lpstr>'ROCE and Payback'!Print_Area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Huskar</cp:lastModifiedBy>
  <dcterms:created xsi:type="dcterms:W3CDTF">2020-07-01T05:43:42Z</dcterms:created>
  <dcterms:modified xsi:type="dcterms:W3CDTF">2022-09-24T16:20:17Z</dcterms:modified>
</cp:coreProperties>
</file>